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Труды\КСК\2024\Надежность и качество\факт исправ. вариант\"/>
    </mc:Choice>
  </mc:AlternateContent>
  <xr:revisionPtr revIDLastSave="0" documentId="13_ncr:1_{04C7CCC9-F7D6-4CEF-8243-36D3C33C5F6E}" xr6:coauthVersionLast="45" xr6:coauthVersionMax="45" xr10:uidLastSave="{00000000-0000-0000-0000-000000000000}"/>
  <bookViews>
    <workbookView xWindow="-120" yWindow="-120" windowWidth="29040" windowHeight="15840" tabRatio="840" firstSheet="12" activeTab="12" xr2:uid="{00000000-000D-0000-FFFF-FFFF00000000}"/>
  </bookViews>
  <sheets>
    <sheet name="Инструкция" sheetId="1" r:id="rId1"/>
    <sheet name="TEHSHEET" sheetId="2" state="hidden" r:id="rId2"/>
    <sheet name="et_union" sheetId="3" state="hidden" r:id="rId3"/>
    <sheet name="REESTR_MO" sheetId="4" state="hidden" r:id="rId4"/>
    <sheet name="REESTR_ORG" sheetId="5" state="hidden" r:id="rId5"/>
    <sheet name="Информация" sheetId="6" state="hidden" r:id="rId6"/>
    <sheet name="Титульный" sheetId="7" r:id="rId7"/>
    <sheet name="Список листов" sheetId="8" state="hidden" r:id="rId8"/>
    <sheet name="Сопроводительные материалы" sheetId="9" r:id="rId9"/>
    <sheet name="ф.2.1 ИндИнф (Ин)" sheetId="10" state="hidden" r:id="rId10"/>
    <sheet name="ф.2.2 ИндИспол (Ис)" sheetId="11" state="hidden" r:id="rId11"/>
    <sheet name="ф.2.3 ИндРезульт (Рс)" sheetId="12" state="hidden" r:id="rId12"/>
    <sheet name="ф.1.3 Ср.продолж." sheetId="13" r:id="rId13"/>
    <sheet name="ф.1.3.1 Ср.продолж." sheetId="14" state="hidden" r:id="rId14"/>
    <sheet name="ф.8.1 Журнал учета" sheetId="15" r:id="rId15"/>
    <sheet name="ф.8.1.1 Ведомость_свод" sheetId="16" r:id="rId16"/>
    <sheet name="ф.8.3 Индикатив" sheetId="17" r:id="rId17"/>
    <sheet name="ф.8.3.1 Индикатив" sheetId="18" state="hidden" r:id="rId18"/>
    <sheet name="Ф.3.1Ф3.2 ПоказТехприс (Птпр)" sheetId="19" r:id="rId19"/>
    <sheet name="Форма 4.1 расч." sheetId="20" r:id="rId20"/>
    <sheet name="Форма 4.1 расч. с 2024 г" sheetId="21" state="hidden" r:id="rId21"/>
    <sheet name="Форма 4.2 расч." sheetId="22" r:id="rId22"/>
    <sheet name="Форма 4.2 расч. с 2024 г" sheetId="23" state="hidden" r:id="rId23"/>
    <sheet name="ф.1.9 Характеристика" sheetId="24" r:id="rId24"/>
    <sheet name="Ф9.1Ф9.2" sheetId="25" r:id="rId25"/>
  </sheets>
  <definedNames>
    <definedName name="_xlnm._FilterDatabase" localSheetId="14">'ф.8.1 Журнал учета'!$AB$28:$CE$77</definedName>
    <definedName name="activity">Титульный!$AC$43</definedName>
    <definedName name="ADD_1_wsDocs">'Сопроводительные материалы'!$AC$33:$AC$34</definedName>
    <definedName name="ADD_1_wsF81">'ф.8.1 Журнал учета'!$AC$29:$AC$77</definedName>
    <definedName name="bln_binary">TEHSHEET!$Y$2:$Y$3</definedName>
    <definedName name="buh_FIO">Титульный!$AC$55</definedName>
    <definedName name="buh_tel">Титульный!$AC$56</definedName>
    <definedName name="CODE">Инструкция!$B$2</definedName>
    <definedName name="DAY">TEHSHEET!$J$2:$J$32</definedName>
    <definedName name="DemoDate">"test"</definedName>
    <definedName name="doc_list">TEHSHEET!$K$2:$K$3</definedName>
    <definedName name="END_LICENSE">TEHSHEET!$C$2</definedName>
    <definedName name="f_8_1_1_dnld_clck">'ф.8.1.1 Ведомость_свод'!$AW$27</definedName>
    <definedName name="f_8_1_ae">TEHSHEET!$D$2:$D$31</definedName>
    <definedName name="f_8_1_date1">'ф.8.1 Журнал учета'!$AG$29:$AH$77</definedName>
    <definedName name="f_8_1_date2">'ф.8.1 Журнал учета'!$BQ$29:$BR$77</definedName>
    <definedName name="f_8_1_timeOFF">'ф.8.1 Журнал учета'!$AJ$29:$AJ$77</definedName>
    <definedName name="FACT_YEAR">TEHSHEET!$H$15:$H$25</definedName>
    <definedName name="FIL">Титульный!$AC$39</definedName>
    <definedName name="FIL_FLAG">Титульный!$AC$36</definedName>
    <definedName name="FIRST_PERIOD_IN_LT">Титульный!$AC$28</definedName>
    <definedName name="FIRST_PERIOD_INDEX">Титульный!$AC$26</definedName>
    <definedName name="flag_end_wsDocs">'Сопроводительные материалы'!$AG$35</definedName>
    <definedName name="flag_end_wsF13_AvgDuration">'ф.1.3 Ср.продолж.'!$AG$34</definedName>
    <definedName name="flag_end_wsF131_AvgDuration">'ф.1.3.1 Ср.продолж.'!$AG$44</definedName>
    <definedName name="flag_end_wsF19_Char">'ф.1.9 Характеристика'!$AL$40</definedName>
    <definedName name="flag_end_wsF21_IndInf">'ф.2.1 ИндИнф (Ин)'!$AK$55</definedName>
    <definedName name="flag_end_wsF22_IndExec">'ф.2.2 ИндИспол (Ис)'!$AJ$48</definedName>
    <definedName name="flag_end_wsF23_IndRes">'ф.2.3 ИндРезульт (Рс)'!$AK$61</definedName>
    <definedName name="flag_end_wsF312_TechCon">'Ф.3.1Ф3.2 ПоказТехприс (Птпр)'!$AG$47</definedName>
    <definedName name="flag_end_wsF41_Calc">'Форма 4.1 расч.'!$AH$68</definedName>
    <definedName name="flag_end_wsF41_Calc2024">'Форма 4.1 расч. с 2024 г'!$AJ$88</definedName>
    <definedName name="flag_end_wsF42_Calc">'Форма 4.2 расч.'!$AM$38</definedName>
    <definedName name="flag_end_wsF42_Calc2024">'Форма 4.2 расч. с 2024 г'!$AM$38</definedName>
    <definedName name="flag_end_wsF81">'ф.8.1 Журнал учета'!$CS$90</definedName>
    <definedName name="flag_end_wsF811_Report">'ф.8.1.1 Ведомость_свод'!$AX$40</definedName>
    <definedName name="flag_end_wsF83_Indicat">'ф.8.3 Индикатив'!$AF$53</definedName>
    <definedName name="flag_end_wsF831_Indicat">'ф.8.3.1 Индикатив'!$AG$47</definedName>
    <definedName name="flag_end_wsF912">'Ф9.1Ф9.2'!$AR$50</definedName>
    <definedName name="flag_end_wsList">'Список листов'!$AF$43</definedName>
    <definedName name="flag_end_wsTitle">Титульный!$AE$63</definedName>
    <definedName name="flag_start_wsDocs">'Сопроводительные материалы'!$AA$20</definedName>
    <definedName name="flag_start_wsF13_AvgDuration">'ф.1.3 Ср.продолж.'!$AA$20</definedName>
    <definedName name="flag_start_wsF131_AvgDuration">'ф.1.3.1 Ср.продолж.'!$AA$20</definedName>
    <definedName name="flag_start_wsF19_Char">'ф.1.9 Характеристика'!$AA$20</definedName>
    <definedName name="flag_start_wsF21_IndInf">'ф.2.1 ИндИнф (Ин)'!$AA$20</definedName>
    <definedName name="flag_start_wsF22_IndExec">'ф.2.2 ИндИспол (Ис)'!$AA$20</definedName>
    <definedName name="flag_start_wsF23_IndRes">'ф.2.3 ИндРезульт (Рс)'!$AA$20</definedName>
    <definedName name="flag_start_wsF312_TechCon">'Ф.3.1Ф3.2 ПоказТехприс (Птпр)'!$AA$20</definedName>
    <definedName name="flag_start_wsF41_Calc">'Форма 4.1 расч.'!$AA$20</definedName>
    <definedName name="flag_start_wsF41_Calc2024">'Форма 4.1 расч. с 2024 г'!$AA$20</definedName>
    <definedName name="flag_start_wsF42_Calc">'Форма 4.2 расч.'!$AA$20</definedName>
    <definedName name="flag_start_wsF42_Calc2024">'Форма 4.2 расч. с 2024 г'!$AA$20</definedName>
    <definedName name="flag_start_wsF81">'ф.8.1 Журнал учета'!$AA$20</definedName>
    <definedName name="flag_start_wsF811_Report">'ф.8.1.1 Ведомость_свод'!$AA$20</definedName>
    <definedName name="flag_start_wsF83_Indicat">'ф.8.3 Индикатив'!$AA$20</definedName>
    <definedName name="flag_start_wsF831_Indicat">'ф.8.3.1 Индикатив'!$AA$20</definedName>
    <definedName name="flag_start_wsF912">'Ф9.1Ф9.2'!$AA$20</definedName>
    <definedName name="flag_start_wsList">'Список листов'!$AA$20</definedName>
    <definedName name="flag_start_wsTitle">Титульный!$AA$20</definedName>
    <definedName name="INN">Титульный!$AC$41</definedName>
    <definedName name="isp_dol">Титульный!$AC$60</definedName>
    <definedName name="isp_FIO">Титульный!$AC$59</definedName>
    <definedName name="isp_mail">Титульный!$AC$62</definedName>
    <definedName name="isp_tel">Титульный!$AC$61</definedName>
    <definedName name="KPP">Титульный!$AC$42</definedName>
    <definedName name="kvartal">TEHSHEET!$F$2:$F$5</definedName>
    <definedName name="LINK_DOC_MASK">TEHSHEET!$B$2</definedName>
    <definedName name="logic">TEHSHEET!$E$2:$E$3</definedName>
    <definedName name="MONTH">TEHSHEET!$H$2:$H$13</definedName>
    <definedName name="MONTH_CH">TEHSHEET!$I$2:$I$13</definedName>
    <definedName name="ORG">Титульный!$AC$38</definedName>
    <definedName name="org_f_address">Титульный!$AC$46</definedName>
    <definedName name="ORG_ID">Титульный!$AC$40</definedName>
    <definedName name="org_u_address">Титульный!$AC$47</definedName>
    <definedName name="OVER_PERIOD_3">TEHSHEET!$G$29:$G$31</definedName>
    <definedName name="OVER_PERIOD_4">TEHSHEET!$G$37:$G$40</definedName>
    <definedName name="OVER_PERIOD_5">TEHSHEET!$G$44:$G$48</definedName>
    <definedName name="Period">TEHSHEET!$G$2:$G$7</definedName>
    <definedName name="PERIOD_LENGTH">Титульный!$AC$29</definedName>
    <definedName name="PERIOD_LIST">TEHSHEET!$G$31:$G$35</definedName>
    <definedName name="PLAN_YEAR">TEHSHEET!$H$24:$H$25</definedName>
    <definedName name="POSSIBLE_PERIOD_LENGTH">TEHSHEET!$K$7:$K$9</definedName>
    <definedName name="PRD">Титульный!$AC$32</definedName>
    <definedName name="PRELOAD_F41_Calc_CHECK">TEHSHEET!$L$16</definedName>
    <definedName name="PRELOAD_F41_Calc_ORG_ID">TEHSHEET!$M$16</definedName>
    <definedName name="REGION_NAME">Титульный!$AC$24</definedName>
    <definedName name="REGIONS">TEHSHEET!$A$2:$A$10</definedName>
    <definedName name="REPORT_OWNER">Титульный!$AC$34</definedName>
    <definedName name="rngCopy">'ф.8.1 Журнал учета'!$29:$29</definedName>
    <definedName name="ruk_dol">Титульный!$AC$51</definedName>
    <definedName name="ruk_FIO">Титульный!$AC$50</definedName>
    <definedName name="ruk_tel">Титульный!$AC$52</definedName>
    <definedName name="selected_region">TEHSHEET!$E$7</definedName>
    <definedName name="SphereList">TEHSHEET!$P$8</definedName>
    <definedName name="SphereList_ru">TEHSHEET!$Q$8</definedName>
    <definedName name="tariff_num">TEHSHEET!$J$2:$J$32</definedName>
    <definedName name="tblEnd_1_wsDocs">'Сопроводительные материалы'!$AE$34</definedName>
    <definedName name="tblEnd_1_wsF13_AvgDuration">'ф.1.3 Ср.продолж.'!$AE$28</definedName>
    <definedName name="tblEnd_1_wsF131_AvgDuration">'ф.1.3.1 Ср.продолж.'!$AE$38</definedName>
    <definedName name="tblEnd_1_wsF19_Char">'ф.1.9 Характеристика'!$AJ$35</definedName>
    <definedName name="tblEnd_1_wsF21_IndInf">'ф.2.1 ИндИнф (Ин)'!$AI$50</definedName>
    <definedName name="tblEnd_1_wsF22_IndExec">'ф.2.2 ИндИспол (Ис)'!$AI$43</definedName>
    <definedName name="tblEnd_1_wsF23_IndRes">'ф.2.3 ИндРезульт (Рс)'!$AI$50</definedName>
    <definedName name="tblEnd_1_wsF312_TechCon">'Ф.3.1Ф3.2 ПоказТехприс (Птпр)'!$AF$28</definedName>
    <definedName name="tblEnd_1_wsF41_Calc">'Форма 4.1 расч.'!$AF$43</definedName>
    <definedName name="tblEnd_1_wsF41_Calc2024">'Форма 4.1 расч. с 2024 г'!$AG$87</definedName>
    <definedName name="tblEnd_1_wsF42_Calc">'Форма 4.2 расч.'!$AL$34</definedName>
    <definedName name="tblEnd_1_wsF42_Calc2024">'Форма 4.2 расч. с 2024 г'!$AL$34</definedName>
    <definedName name="tblEnd_1_wsF81">'ф.8.1 Журнал учета'!$CE$82</definedName>
    <definedName name="tblEnd_1_wsF811_Report">'ф.8.1.1 Ведомость_свод'!$AV$38</definedName>
    <definedName name="tblEnd_1_wsF83_Indicat">'ф.8.3 Индикатив'!$AE$49</definedName>
    <definedName name="tblEnd_1_wsF831_Indicat">'ф.8.3.1 Индикатив'!$AE$43</definedName>
    <definedName name="tblEnd_1_wsF912">'Ф9.1Ф9.2'!$AM$35</definedName>
    <definedName name="tblEnd_1_wsTitle">Титульный!$AC$62</definedName>
    <definedName name="tblEnd_2_wsF312_TechCon">'Ф.3.1Ф3.2 ПоказТехприс (Птпр)'!$AF$37</definedName>
    <definedName name="tblEnd_2_wsF41_Calc">'Форма 4.1 расч.'!$AG$67</definedName>
    <definedName name="tblEnd_2_wsF912">'Ф9.1Ф9.2'!$AK$49</definedName>
    <definedName name="tblEnd_3_wsF312_TechCon">'Ф.3.1Ф3.2 ПоказТехприс (Птпр)'!$AF$42</definedName>
    <definedName name="tblStart_1_wsDocs">'Сопроводительные материалы'!$AD$26</definedName>
    <definedName name="tblStart_1_wsF13_AvgDuration">'ф.1.3 Ср.продолж.'!$AD$26</definedName>
    <definedName name="tblStart_1_wsF131_AvgDuration">'ф.1.3.1 Ср.продолж.'!$AD$26</definedName>
    <definedName name="tblStart_1_wsF19_Char">'ф.1.9 Характеристика'!$AD$28</definedName>
    <definedName name="tblStart_1_wsF21_IndInf">'ф.2.1 ИндИнф (Ин)'!$AE$28</definedName>
    <definedName name="tblStart_1_wsF22_IndExec">'ф.2.2 ИндИспол (Ис)'!$AE$28</definedName>
    <definedName name="tblStart_1_wsF23_IndRes">'ф.2.3 ИндРезульт (Рс)'!$AE$28</definedName>
    <definedName name="tblStart_1_wsF312_TechCon">'Ф.3.1Ф3.2 ПоказТехприс (Птпр)'!$AE$25</definedName>
    <definedName name="tblStart_1_wsF41_Calc">'Форма 4.1 расч.'!$AE$27</definedName>
    <definedName name="tblStart_1_wsF41_Calc2024">'Форма 4.1 расч. с 2024 г'!$AD$27</definedName>
    <definedName name="tblStart_1_wsF42_Calc">'Форма 4.2 расч.'!$AD$26</definedName>
    <definedName name="tblStart_1_wsF42_Calc2024">'Форма 4.2 расч. с 2024 г'!$AD$26</definedName>
    <definedName name="tblStart_1_wsF81">'ф.8.1 Журнал учета'!$AD$29</definedName>
    <definedName name="tblStart_1_wsF811_Report">'ф.8.1.1 Ведомость_свод'!$AD$27</definedName>
    <definedName name="tblStart_1_wsF83_Indicat">'ф.8.3 Индикатив'!$AD$27</definedName>
    <definedName name="tblStart_1_wsF831_Indicat">'ф.8.3.1 Индикатив'!$AD$27</definedName>
    <definedName name="tblStart_1_wsF912">'Ф9.1Ф9.2'!$AD$27</definedName>
    <definedName name="tblStart_1_wsTitle">Титульный!$AC$24</definedName>
    <definedName name="tblStart_2_wsF312_TechCon">'Ф.3.1Ф3.2 ПоказТехприс (Птпр)'!$AE$34</definedName>
    <definedName name="tblStart_2_wsF41_Calc">'Форма 4.1 расч.'!$AD$51</definedName>
    <definedName name="tblStart_2_wsF912">'Ф9.1Ф9.2'!$AD$42</definedName>
    <definedName name="tblStart_3_wsF312_TechCon">'Ф.3.1Ф3.2 ПоказТехприс (Птпр)'!$AE$42</definedName>
    <definedName name="TemplateState">TEHSHEET!$C$5</definedName>
    <definedName name="TestMode">TEHSHEET!$M$2</definedName>
    <definedName name="TIT_CONTACT">Титульный!$AC$59:$AC$62</definedName>
    <definedName name="TitHeader">Титульный!$AB$21</definedName>
    <definedName name="TYPE_OBGECT">TEHSHEET!$S$2:$S$6</definedName>
    <definedName name="TYPE_TERMINATION">TEHSHEET!$T$2:$T$4</definedName>
    <definedName name="VERSION">Инструкция!$B$3</definedName>
    <definedName name="VID_END_EE">TEHSHEET!$V$2:$V$4</definedName>
    <definedName name="VID_OBJECT">TEHSHEET!$W$2:$W$7</definedName>
    <definedName name="_xlnm.Print_Area" localSheetId="12">'ф.1.3 Ср.продолж.'!$A$1:$AF$31</definedName>
    <definedName name="_xlnm.Print_Area" localSheetId="14">'ф.8.1 Журнал учета'!$A$8:$BB$85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2" i="22" l="1"/>
  <c r="AJ49" i="25" l="1"/>
  <c r="AI49" i="25" s="1"/>
  <c r="AE49" i="25"/>
  <c r="AD49" i="25" s="1"/>
  <c r="AJ48" i="25"/>
  <c r="AI48" i="25" s="1"/>
  <c r="AE48" i="25"/>
  <c r="AD48" i="25" s="1"/>
  <c r="AJ47" i="25"/>
  <c r="AE47" i="25"/>
  <c r="AJ46" i="25"/>
  <c r="AE46" i="25"/>
  <c r="AJ45" i="25"/>
  <c r="AE45" i="25"/>
  <c r="AJ44" i="25"/>
  <c r="AE44" i="25"/>
  <c r="AJ43" i="25"/>
  <c r="AE43" i="25"/>
  <c r="AJ42" i="25"/>
  <c r="AE42" i="25"/>
  <c r="AQ40" i="25"/>
  <c r="AP40" i="25"/>
  <c r="AJ35" i="25"/>
  <c r="AI35" i="25" s="1"/>
  <c r="AE35" i="25"/>
  <c r="AD35" i="25" s="1"/>
  <c r="AJ34" i="25"/>
  <c r="AE34" i="25"/>
  <c r="AJ33" i="25"/>
  <c r="AE33" i="25"/>
  <c r="AJ32" i="25"/>
  <c r="AE32" i="25"/>
  <c r="AJ31" i="25"/>
  <c r="AE31" i="25"/>
  <c r="AJ30" i="25"/>
  <c r="AE30" i="25"/>
  <c r="AL29" i="25"/>
  <c r="AJ29" i="25"/>
  <c r="AH29" i="25"/>
  <c r="AG29" i="25"/>
  <c r="AE29" i="25"/>
  <c r="AM28" i="25"/>
  <c r="AL28" i="25"/>
  <c r="AJ28" i="25"/>
  <c r="AH28" i="25"/>
  <c r="AG28" i="25"/>
  <c r="AE28" i="25"/>
  <c r="AL27" i="25"/>
  <c r="AJ27" i="25"/>
  <c r="AG27" i="25"/>
  <c r="AE27" i="25"/>
  <c r="AQ25" i="25"/>
  <c r="AP25" i="25"/>
  <c r="AB21" i="25"/>
  <c r="AM2" i="25"/>
  <c r="AL2" i="25"/>
  <c r="AK2" i="25"/>
  <c r="AJ2" i="25"/>
  <c r="AI2" i="25"/>
  <c r="AH37" i="24"/>
  <c r="AD37" i="24"/>
  <c r="AC37" i="24"/>
  <c r="AH30" i="24"/>
  <c r="AK47" i="25" s="1"/>
  <c r="AD30" i="24"/>
  <c r="AF29" i="25" s="1"/>
  <c r="AD29" i="25" s="1"/>
  <c r="AB21" i="24"/>
  <c r="AJ2" i="24"/>
  <c r="AI2" i="24"/>
  <c r="AH2" i="24"/>
  <c r="AE36" i="23"/>
  <c r="AD36" i="23"/>
  <c r="AC36" i="23"/>
  <c r="AE31" i="23"/>
  <c r="AD31" i="23"/>
  <c r="AB27" i="23"/>
  <c r="AB28" i="23" s="1"/>
  <c r="AB29" i="23" s="1"/>
  <c r="AB30" i="23" s="1"/>
  <c r="AB31" i="23" s="1"/>
  <c r="AB32" i="23" s="1"/>
  <c r="AB33" i="23" s="1"/>
  <c r="AB34" i="23" s="1"/>
  <c r="AL26" i="23"/>
  <c r="AB21" i="23"/>
  <c r="AL2" i="23"/>
  <c r="AK2" i="23"/>
  <c r="AJ2" i="23"/>
  <c r="AI2" i="23"/>
  <c r="AH2" i="23"/>
  <c r="AG2" i="23"/>
  <c r="AF2" i="23"/>
  <c r="AE2" i="23"/>
  <c r="AE36" i="22"/>
  <c r="AD36" i="22"/>
  <c r="AC36" i="22"/>
  <c r="AE31" i="22"/>
  <c r="AD31" i="22"/>
  <c r="AB27" i="22"/>
  <c r="AB28" i="22" s="1"/>
  <c r="AB29" i="22" s="1"/>
  <c r="AB30" i="22" s="1"/>
  <c r="AB31" i="22" s="1"/>
  <c r="AB32" i="22" s="1"/>
  <c r="AB33" i="22" s="1"/>
  <c r="AB34" i="22" s="1"/>
  <c r="AL26" i="22"/>
  <c r="AB21" i="22"/>
  <c r="AL2" i="22"/>
  <c r="AK2" i="22"/>
  <c r="AJ2" i="22"/>
  <c r="AI2" i="22"/>
  <c r="AH2" i="22"/>
  <c r="AG2" i="22"/>
  <c r="AF2" i="22"/>
  <c r="AE2" i="22"/>
  <c r="AF84" i="21"/>
  <c r="AF86" i="21" s="1"/>
  <c r="AD84" i="21"/>
  <c r="AD86" i="21" s="1"/>
  <c r="AF80" i="21"/>
  <c r="AF82" i="21" s="1"/>
  <c r="AD80" i="21"/>
  <c r="AD82" i="21" s="1"/>
  <c r="AF76" i="21"/>
  <c r="AF78" i="21" s="1"/>
  <c r="AD76" i="21"/>
  <c r="AD78" i="21" s="1"/>
  <c r="AG73" i="21"/>
  <c r="AE73" i="21"/>
  <c r="AD65" i="21"/>
  <c r="AC65" i="21"/>
  <c r="AI48" i="21"/>
  <c r="AH48" i="21"/>
  <c r="AI47" i="21"/>
  <c r="AH47" i="21"/>
  <c r="AI46" i="21"/>
  <c r="AH46" i="21"/>
  <c r="AI45" i="21"/>
  <c r="AH45" i="21"/>
  <c r="AI44" i="21"/>
  <c r="AH44" i="21"/>
  <c r="AI43" i="21"/>
  <c r="AH43" i="21"/>
  <c r="AI42" i="21"/>
  <c r="AH42" i="21"/>
  <c r="AI41" i="21"/>
  <c r="AH41" i="21"/>
  <c r="AB21" i="21"/>
  <c r="AG2" i="21"/>
  <c r="AF2" i="21"/>
  <c r="AF64" i="20"/>
  <c r="AF66" i="20" s="1"/>
  <c r="AD64" i="20"/>
  <c r="AF60" i="20"/>
  <c r="AF62" i="20" s="1"/>
  <c r="AD60" i="20"/>
  <c r="AF56" i="20"/>
  <c r="AF58" i="20" s="1"/>
  <c r="AD56" i="20"/>
  <c r="AG53" i="20"/>
  <c r="AE53" i="20"/>
  <c r="AD45" i="20"/>
  <c r="AC45" i="20"/>
  <c r="AB28" i="20"/>
  <c r="AB29" i="20" s="1"/>
  <c r="AB30" i="20" s="1"/>
  <c r="AB31" i="20" s="1"/>
  <c r="AB32" i="20" s="1"/>
  <c r="AB33" i="20" s="1"/>
  <c r="AB34" i="20" s="1"/>
  <c r="AB35" i="20" s="1"/>
  <c r="AB36" i="20" s="1"/>
  <c r="AB37" i="20" s="1"/>
  <c r="AB38" i="20" s="1"/>
  <c r="AB39" i="20" s="1"/>
  <c r="AB40" i="20" s="1"/>
  <c r="AB41" i="20" s="1"/>
  <c r="AB42" i="20" s="1"/>
  <c r="AB43" i="20" s="1"/>
  <c r="AB27" i="20"/>
  <c r="AB21" i="20"/>
  <c r="AG2" i="20"/>
  <c r="AF2" i="20"/>
  <c r="AD44" i="19"/>
  <c r="AC44" i="19"/>
  <c r="AE36" i="19"/>
  <c r="AF35" i="19"/>
  <c r="AF34" i="19"/>
  <c r="AF36" i="19" s="1"/>
  <c r="AB30" i="19"/>
  <c r="AE27" i="19"/>
  <c r="AF26" i="19"/>
  <c r="AF27" i="19" s="1"/>
  <c r="AF25" i="19"/>
  <c r="AB22" i="19"/>
  <c r="AB21" i="19"/>
  <c r="AF2" i="19"/>
  <c r="AD45" i="18"/>
  <c r="AC45" i="18"/>
  <c r="AD31" i="18"/>
  <c r="AD43" i="18" s="1"/>
  <c r="AD30" i="18"/>
  <c r="AD42" i="18" s="1"/>
  <c r="AD29" i="18"/>
  <c r="AD41" i="18" s="1"/>
  <c r="AD28" i="18"/>
  <c r="AD40" i="18" s="1"/>
  <c r="AD27" i="18"/>
  <c r="AD39" i="18" s="1"/>
  <c r="AB21" i="18"/>
  <c r="AE2" i="18"/>
  <c r="AD51" i="17"/>
  <c r="AC51" i="17"/>
  <c r="AD47" i="17"/>
  <c r="AD46" i="17"/>
  <c r="AD42" i="17"/>
  <c r="AD41" i="17"/>
  <c r="AD38" i="17"/>
  <c r="AD37" i="17"/>
  <c r="AD36" i="17"/>
  <c r="AD33" i="17"/>
  <c r="AD32" i="17"/>
  <c r="AE31" i="17"/>
  <c r="AE30" i="17"/>
  <c r="AE29" i="17"/>
  <c r="AE28" i="17"/>
  <c r="AE32" i="17" s="1"/>
  <c r="AD27" i="17"/>
  <c r="AB21" i="17"/>
  <c r="AE2" i="17"/>
  <c r="AU38" i="16"/>
  <c r="AS38" i="16"/>
  <c r="AR38" i="16"/>
  <c r="AQ38" i="16"/>
  <c r="AP38" i="16"/>
  <c r="AO38" i="16"/>
  <c r="AN38" i="16"/>
  <c r="AM38" i="16" s="1"/>
  <c r="AT38" i="16" s="1"/>
  <c r="AK38" i="16"/>
  <c r="AD38" i="16"/>
  <c r="AU37" i="16"/>
  <c r="AS37" i="16"/>
  <c r="AR37" i="16"/>
  <c r="AQ37" i="16"/>
  <c r="AP37" i="16"/>
  <c r="AO37" i="16"/>
  <c r="AN37" i="16"/>
  <c r="AM37" i="16"/>
  <c r="AT37" i="16" s="1"/>
  <c r="AD37" i="16"/>
  <c r="AK37" i="16" s="1"/>
  <c r="AU36" i="16"/>
  <c r="AS36" i="16"/>
  <c r="AR36" i="16"/>
  <c r="AQ36" i="16"/>
  <c r="AP36" i="16"/>
  <c r="AO36" i="16"/>
  <c r="AN36" i="16"/>
  <c r="AM36" i="16" s="1"/>
  <c r="AT36" i="16" s="1"/>
  <c r="AK36" i="16"/>
  <c r="AD36" i="16"/>
  <c r="AU35" i="16"/>
  <c r="AS35" i="16"/>
  <c r="AR35" i="16"/>
  <c r="AQ35" i="16"/>
  <c r="AP35" i="16"/>
  <c r="AO35" i="16"/>
  <c r="AN35" i="16"/>
  <c r="AM35" i="16"/>
  <c r="AT35" i="16" s="1"/>
  <c r="AD35" i="16"/>
  <c r="AK35" i="16" s="1"/>
  <c r="AU34" i="16"/>
  <c r="AS34" i="16"/>
  <c r="AR34" i="16"/>
  <c r="AQ34" i="16"/>
  <c r="AP34" i="16"/>
  <c r="AO34" i="16"/>
  <c r="AN34" i="16"/>
  <c r="AM34" i="16" s="1"/>
  <c r="AT34" i="16" s="1"/>
  <c r="AK34" i="16"/>
  <c r="AD34" i="16"/>
  <c r="AU33" i="16"/>
  <c r="AS33" i="16"/>
  <c r="AR33" i="16"/>
  <c r="AQ33" i="16"/>
  <c r="AP33" i="16"/>
  <c r="AO33" i="16"/>
  <c r="AN33" i="16"/>
  <c r="AM33" i="16"/>
  <c r="AT33" i="16" s="1"/>
  <c r="AD33" i="16"/>
  <c r="AK33" i="16" s="1"/>
  <c r="AU32" i="16"/>
  <c r="AS32" i="16"/>
  <c r="AR32" i="16"/>
  <c r="AQ32" i="16"/>
  <c r="AP32" i="16"/>
  <c r="AO32" i="16"/>
  <c r="AN32" i="16"/>
  <c r="AM32" i="16" s="1"/>
  <c r="AT32" i="16" s="1"/>
  <c r="AK32" i="16"/>
  <c r="AD32" i="16"/>
  <c r="AU31" i="16"/>
  <c r="AS31" i="16"/>
  <c r="AR31" i="16"/>
  <c r="AQ31" i="16"/>
  <c r="AP31" i="16"/>
  <c r="AO31" i="16"/>
  <c r="AN31" i="16"/>
  <c r="AM31" i="16"/>
  <c r="AT31" i="16" s="1"/>
  <c r="AD31" i="16"/>
  <c r="AK31" i="16" s="1"/>
  <c r="AU30" i="16"/>
  <c r="AS30" i="16"/>
  <c r="AR30" i="16"/>
  <c r="AQ30" i="16"/>
  <c r="AP30" i="16"/>
  <c r="AO30" i="16"/>
  <c r="AN30" i="16"/>
  <c r="AM30" i="16" s="1"/>
  <c r="AT30" i="16" s="1"/>
  <c r="AK30" i="16"/>
  <c r="AD30" i="16"/>
  <c r="AU29" i="16"/>
  <c r="AS29" i="16"/>
  <c r="AR29" i="16"/>
  <c r="AQ29" i="16"/>
  <c r="AP29" i="16"/>
  <c r="AO29" i="16"/>
  <c r="AN29" i="16"/>
  <c r="AM29" i="16"/>
  <c r="AT29" i="16" s="1"/>
  <c r="AD29" i="16"/>
  <c r="AK29" i="16" s="1"/>
  <c r="AU28" i="16"/>
  <c r="AS28" i="16"/>
  <c r="AR28" i="16"/>
  <c r="AQ28" i="16"/>
  <c r="AP28" i="16"/>
  <c r="AO28" i="16"/>
  <c r="AN28" i="16"/>
  <c r="AM28" i="16" s="1"/>
  <c r="AT28" i="16" s="1"/>
  <c r="AK28" i="16"/>
  <c r="AD28" i="16"/>
  <c r="AU27" i="16"/>
  <c r="AS27" i="16"/>
  <c r="AR27" i="16"/>
  <c r="AQ27" i="16"/>
  <c r="AP27" i="16"/>
  <c r="AO27" i="16"/>
  <c r="AN27" i="16"/>
  <c r="AM27" i="16"/>
  <c r="AT27" i="16" s="1"/>
  <c r="AD27" i="16"/>
  <c r="AK27" i="16" s="1"/>
  <c r="AB21" i="16"/>
  <c r="AU2" i="16"/>
  <c r="AT2" i="16"/>
  <c r="AS2" i="16"/>
  <c r="AR2" i="16"/>
  <c r="AQ2" i="16"/>
  <c r="AP2" i="16"/>
  <c r="AO2" i="16"/>
  <c r="AN2" i="16"/>
  <c r="AM2" i="16"/>
  <c r="AD84" i="15"/>
  <c r="AC84" i="15"/>
  <c r="AW82" i="15"/>
  <c r="AV82" i="15"/>
  <c r="AT82" i="15"/>
  <c r="AS82" i="15"/>
  <c r="AR82" i="15"/>
  <c r="AQ82" i="15"/>
  <c r="AP82" i="15"/>
  <c r="AO82" i="15"/>
  <c r="AJ82" i="15"/>
  <c r="AW81" i="15"/>
  <c r="AV81" i="15"/>
  <c r="AT81" i="15"/>
  <c r="AS81" i="15"/>
  <c r="AR81" i="15"/>
  <c r="AQ81" i="15"/>
  <c r="AP81" i="15"/>
  <c r="AO81" i="15"/>
  <c r="AJ81" i="15"/>
  <c r="AW80" i="15"/>
  <c r="AV80" i="15"/>
  <c r="AU80" i="15"/>
  <c r="AT80" i="15"/>
  <c r="AS80" i="15"/>
  <c r="AR80" i="15"/>
  <c r="AQ80" i="15"/>
  <c r="AP80" i="15"/>
  <c r="AO80" i="15"/>
  <c r="AN80" i="15"/>
  <c r="AJ80" i="15"/>
  <c r="AW79" i="15"/>
  <c r="AV79" i="15"/>
  <c r="AV78" i="15" s="1"/>
  <c r="AU79" i="15"/>
  <c r="AT79" i="15"/>
  <c r="AT78" i="15" s="1"/>
  <c r="AS79" i="15"/>
  <c r="AR79" i="15"/>
  <c r="AR78" i="15" s="1"/>
  <c r="AQ79" i="15"/>
  <c r="AP79" i="15"/>
  <c r="AP78" i="15" s="1"/>
  <c r="AO79" i="15"/>
  <c r="AN79" i="15"/>
  <c r="AJ79" i="15"/>
  <c r="AW78" i="15"/>
  <c r="AS78" i="15"/>
  <c r="AQ78" i="15"/>
  <c r="AO78" i="15"/>
  <c r="AJ78" i="15"/>
  <c r="CD76" i="15"/>
  <c r="CC76" i="15"/>
  <c r="CA76" i="15"/>
  <c r="BZ76" i="15"/>
  <c r="BY76" i="15"/>
  <c r="BX76" i="15"/>
  <c r="BW76" i="15"/>
  <c r="BV76" i="15"/>
  <c r="BU76" i="15"/>
  <c r="CB76" i="15" s="1"/>
  <c r="BT76" i="15"/>
  <c r="BS76" i="15"/>
  <c r="CQ76" i="15" s="1"/>
  <c r="BR76" i="15"/>
  <c r="BQ76" i="15"/>
  <c r="BP76" i="15"/>
  <c r="BO76" i="15"/>
  <c r="BN76" i="15"/>
  <c r="BM76" i="15"/>
  <c r="BL76" i="15"/>
  <c r="BK76" i="15"/>
  <c r="BJ76" i="15"/>
  <c r="BI76" i="15"/>
  <c r="BH76" i="15"/>
  <c r="BG76" i="15"/>
  <c r="BF76" i="15"/>
  <c r="BE76" i="15"/>
  <c r="AN76" i="15"/>
  <c r="AU76" i="15" s="1"/>
  <c r="CD75" i="15"/>
  <c r="CC75" i="15"/>
  <c r="CA75" i="15"/>
  <c r="BZ75" i="15"/>
  <c r="BY75" i="15"/>
  <c r="BX75" i="15"/>
  <c r="BW75" i="15"/>
  <c r="BV75" i="15"/>
  <c r="BU75" i="15"/>
  <c r="CB75" i="15" s="1"/>
  <c r="BT75" i="15"/>
  <c r="BS75" i="15"/>
  <c r="CQ75" i="15" s="1"/>
  <c r="BR75" i="15"/>
  <c r="BQ75" i="15"/>
  <c r="BP75" i="15"/>
  <c r="BO75" i="15"/>
  <c r="BN75" i="15"/>
  <c r="BM75" i="15"/>
  <c r="BL75" i="15"/>
  <c r="BK75" i="15"/>
  <c r="BJ75" i="15"/>
  <c r="BI75" i="15"/>
  <c r="BH75" i="15"/>
  <c r="BG75" i="15"/>
  <c r="BF75" i="15"/>
  <c r="BE75" i="15"/>
  <c r="AN75" i="15"/>
  <c r="AU75" i="15" s="1"/>
  <c r="CD74" i="15"/>
  <c r="CC74" i="15"/>
  <c r="CA74" i="15"/>
  <c r="BZ74" i="15"/>
  <c r="BY74" i="15"/>
  <c r="BX74" i="15"/>
  <c r="BW74" i="15"/>
  <c r="BV74" i="15"/>
  <c r="BU74" i="15"/>
  <c r="CB74" i="15" s="1"/>
  <c r="BT74" i="15"/>
  <c r="BS74" i="15"/>
  <c r="CQ74" i="15" s="1"/>
  <c r="BR74" i="15"/>
  <c r="BQ74" i="15"/>
  <c r="BP74" i="15"/>
  <c r="BO74" i="15"/>
  <c r="BN74" i="15"/>
  <c r="BM74" i="15"/>
  <c r="BL74" i="15"/>
  <c r="BK74" i="15"/>
  <c r="BJ74" i="15"/>
  <c r="BI74" i="15"/>
  <c r="BH74" i="15"/>
  <c r="BG74" i="15"/>
  <c r="BF74" i="15"/>
  <c r="BE74" i="15"/>
  <c r="AN74" i="15"/>
  <c r="AU74" i="15" s="1"/>
  <c r="CD73" i="15"/>
  <c r="CC73" i="15"/>
  <c r="CA73" i="15"/>
  <c r="BZ73" i="15"/>
  <c r="BY73" i="15"/>
  <c r="BX73" i="15"/>
  <c r="BW73" i="15"/>
  <c r="BV73" i="15"/>
  <c r="BU73" i="15"/>
  <c r="CB73" i="15" s="1"/>
  <c r="BT73" i="15"/>
  <c r="BS73" i="15"/>
  <c r="CQ73" i="15" s="1"/>
  <c r="BR73" i="15"/>
  <c r="BQ73" i="15"/>
  <c r="BP73" i="15"/>
  <c r="BO73" i="15"/>
  <c r="BN73" i="15"/>
  <c r="BM73" i="15"/>
  <c r="BL73" i="15"/>
  <c r="BK73" i="15"/>
  <c r="BJ73" i="15"/>
  <c r="BI73" i="15"/>
  <c r="BH73" i="15"/>
  <c r="BG73" i="15"/>
  <c r="BF73" i="15"/>
  <c r="BE73" i="15"/>
  <c r="AN73" i="15"/>
  <c r="AU73" i="15" s="1"/>
  <c r="CD72" i="15"/>
  <c r="CC72" i="15"/>
  <c r="CA72" i="15"/>
  <c r="BZ72" i="15"/>
  <c r="BY72" i="15"/>
  <c r="BX72" i="15"/>
  <c r="BW72" i="15"/>
  <c r="BV72" i="15"/>
  <c r="BU72" i="15"/>
  <c r="CB72" i="15" s="1"/>
  <c r="BT72" i="15"/>
  <c r="BS72" i="15"/>
  <c r="CQ72" i="15" s="1"/>
  <c r="BR72" i="15"/>
  <c r="BQ72" i="15"/>
  <c r="BP72" i="15"/>
  <c r="BO72" i="15"/>
  <c r="BN72" i="15"/>
  <c r="BM72" i="15"/>
  <c r="BL72" i="15"/>
  <c r="BK72" i="15"/>
  <c r="BJ72" i="15"/>
  <c r="BI72" i="15"/>
  <c r="BH72" i="15"/>
  <c r="BG72" i="15"/>
  <c r="BF72" i="15"/>
  <c r="BE72" i="15"/>
  <c r="AN72" i="15"/>
  <c r="AU72" i="15" s="1"/>
  <c r="CD71" i="15"/>
  <c r="CC71" i="15"/>
  <c r="CA71" i="15"/>
  <c r="BZ71" i="15"/>
  <c r="BY71" i="15"/>
  <c r="BX71" i="15"/>
  <c r="BW71" i="15"/>
  <c r="BV71" i="15"/>
  <c r="BU71" i="15"/>
  <c r="CB71" i="15" s="1"/>
  <c r="BT71" i="15"/>
  <c r="BS71" i="15"/>
  <c r="CQ71" i="15" s="1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AN71" i="15"/>
  <c r="AU71" i="15" s="1"/>
  <c r="CD70" i="15"/>
  <c r="CC70" i="15"/>
  <c r="CA70" i="15"/>
  <c r="BZ70" i="15"/>
  <c r="BY70" i="15"/>
  <c r="BX70" i="15"/>
  <c r="BW70" i="15"/>
  <c r="BV70" i="15"/>
  <c r="BU70" i="15"/>
  <c r="CB70" i="15" s="1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AN70" i="15"/>
  <c r="AU70" i="15" s="1"/>
  <c r="CD69" i="15"/>
  <c r="CC69" i="15"/>
  <c r="CA69" i="15"/>
  <c r="BZ69" i="15"/>
  <c r="BY69" i="15"/>
  <c r="BX69" i="15"/>
  <c r="BW69" i="15"/>
  <c r="BV69" i="15"/>
  <c r="BU69" i="15"/>
  <c r="CB69" i="15" s="1"/>
  <c r="BT69" i="15"/>
  <c r="BS69" i="15"/>
  <c r="BR69" i="15"/>
  <c r="BQ69" i="15"/>
  <c r="BP69" i="15"/>
  <c r="BO69" i="15"/>
  <c r="BN69" i="15"/>
  <c r="BM69" i="15"/>
  <c r="BL69" i="15"/>
  <c r="BK69" i="15"/>
  <c r="BJ69" i="15"/>
  <c r="BI69" i="15"/>
  <c r="BH69" i="15"/>
  <c r="BG69" i="15"/>
  <c r="BF69" i="15"/>
  <c r="BE69" i="15"/>
  <c r="AN69" i="15"/>
  <c r="AU69" i="15" s="1"/>
  <c r="CD68" i="15"/>
  <c r="CC68" i="15"/>
  <c r="CA68" i="15"/>
  <c r="BZ68" i="15"/>
  <c r="BY68" i="15"/>
  <c r="BX68" i="15"/>
  <c r="BW68" i="15"/>
  <c r="BV68" i="15"/>
  <c r="BU68" i="15"/>
  <c r="CB68" i="15" s="1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AN68" i="15"/>
  <c r="AU68" i="15" s="1"/>
  <c r="CD67" i="15"/>
  <c r="CC67" i="15"/>
  <c r="CA67" i="15"/>
  <c r="BZ67" i="15"/>
  <c r="BY67" i="15"/>
  <c r="BX67" i="15"/>
  <c r="BW67" i="15"/>
  <c r="BV67" i="15"/>
  <c r="BU67" i="15"/>
  <c r="CB67" i="15" s="1"/>
  <c r="BT67" i="15"/>
  <c r="BS67" i="15"/>
  <c r="BR67" i="15"/>
  <c r="BQ67" i="15"/>
  <c r="BP67" i="15"/>
  <c r="BO67" i="15"/>
  <c r="BN67" i="15"/>
  <c r="BM67" i="15"/>
  <c r="BL67" i="15"/>
  <c r="BK67" i="15"/>
  <c r="BJ67" i="15"/>
  <c r="BI67" i="15"/>
  <c r="BH67" i="15"/>
  <c r="BG67" i="15"/>
  <c r="BF67" i="15"/>
  <c r="BE67" i="15"/>
  <c r="AN67" i="15"/>
  <c r="AU67" i="15" s="1"/>
  <c r="CD66" i="15"/>
  <c r="CC66" i="15"/>
  <c r="CA66" i="15"/>
  <c r="BZ66" i="15"/>
  <c r="BY66" i="15"/>
  <c r="BX66" i="15"/>
  <c r="BW66" i="15"/>
  <c r="BV66" i="15"/>
  <c r="BU66" i="15"/>
  <c r="CB66" i="15" s="1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AN66" i="15"/>
  <c r="AU66" i="15" s="1"/>
  <c r="CD65" i="15"/>
  <c r="CC65" i="15"/>
  <c r="CA65" i="15"/>
  <c r="BZ65" i="15"/>
  <c r="BY65" i="15"/>
  <c r="BX65" i="15"/>
  <c r="BW65" i="15"/>
  <c r="BV65" i="15"/>
  <c r="BU65" i="15"/>
  <c r="CB65" i="15" s="1"/>
  <c r="BT65" i="15"/>
  <c r="BS65" i="15"/>
  <c r="BR65" i="15"/>
  <c r="BQ65" i="15"/>
  <c r="BP65" i="15"/>
  <c r="BO65" i="15"/>
  <c r="BN65" i="15"/>
  <c r="BM65" i="15"/>
  <c r="BL65" i="15"/>
  <c r="BK65" i="15"/>
  <c r="BJ65" i="15"/>
  <c r="BI65" i="15"/>
  <c r="BH65" i="15"/>
  <c r="BG65" i="15"/>
  <c r="BF65" i="15"/>
  <c r="BE65" i="15"/>
  <c r="AN65" i="15"/>
  <c r="AU65" i="15" s="1"/>
  <c r="CD64" i="15"/>
  <c r="CC64" i="15"/>
  <c r="CA64" i="15"/>
  <c r="BZ64" i="15"/>
  <c r="BY64" i="15"/>
  <c r="BX64" i="15"/>
  <c r="BW64" i="15"/>
  <c r="BV64" i="15"/>
  <c r="BU64" i="15"/>
  <c r="CB64" i="15" s="1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AN64" i="15"/>
  <c r="AU64" i="15" s="1"/>
  <c r="CD63" i="15"/>
  <c r="CC63" i="15"/>
  <c r="CA63" i="15"/>
  <c r="BZ63" i="15"/>
  <c r="BY63" i="15"/>
  <c r="BX63" i="15"/>
  <c r="BW63" i="15"/>
  <c r="BV63" i="15"/>
  <c r="BU63" i="15"/>
  <c r="CB63" i="15" s="1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AN63" i="15"/>
  <c r="AU63" i="15" s="1"/>
  <c r="CD62" i="15"/>
  <c r="CC62" i="15"/>
  <c r="CA62" i="15"/>
  <c r="BZ62" i="15"/>
  <c r="BY62" i="15"/>
  <c r="BX62" i="15"/>
  <c r="BW62" i="15"/>
  <c r="BV62" i="15"/>
  <c r="BU62" i="15"/>
  <c r="CB62" i="15" s="1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AN62" i="15"/>
  <c r="AU62" i="15" s="1"/>
  <c r="CP61" i="15"/>
  <c r="CL61" i="15"/>
  <c r="CI61" i="15"/>
  <c r="CD61" i="15"/>
  <c r="CG61" i="15" s="1"/>
  <c r="CC61" i="15"/>
  <c r="CA61" i="15"/>
  <c r="BZ61" i="15"/>
  <c r="BY61" i="15"/>
  <c r="BX61" i="15"/>
  <c r="BW61" i="15"/>
  <c r="BV61" i="15"/>
  <c r="BU61" i="15" s="1"/>
  <c r="CB61" i="15" s="1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AU61" i="15"/>
  <c r="AN61" i="15"/>
  <c r="CQ60" i="15"/>
  <c r="CO60" i="15"/>
  <c r="CM60" i="15"/>
  <c r="CK60" i="15"/>
  <c r="CI60" i="15"/>
  <c r="CD60" i="15"/>
  <c r="CG60" i="15" s="1"/>
  <c r="CC60" i="15"/>
  <c r="CA60" i="15"/>
  <c r="BZ60" i="15"/>
  <c r="BY60" i="15"/>
  <c r="BX60" i="15"/>
  <c r="BW60" i="15"/>
  <c r="BV60" i="15"/>
  <c r="BU60" i="15" s="1"/>
  <c r="CB60" i="15" s="1"/>
  <c r="BT60" i="15"/>
  <c r="BS60" i="15"/>
  <c r="CP60" i="15" s="1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AU60" i="15"/>
  <c r="AN60" i="15"/>
  <c r="CQ59" i="15"/>
  <c r="CO59" i="15"/>
  <c r="CM59" i="15"/>
  <c r="CK59" i="15"/>
  <c r="CI59" i="15"/>
  <c r="CD59" i="15"/>
  <c r="CG59" i="15" s="1"/>
  <c r="CC59" i="15"/>
  <c r="CA59" i="15"/>
  <c r="BZ59" i="15"/>
  <c r="BY59" i="15"/>
  <c r="BX59" i="15"/>
  <c r="BW59" i="15"/>
  <c r="BV59" i="15"/>
  <c r="BU59" i="15" s="1"/>
  <c r="CB59" i="15" s="1"/>
  <c r="BT59" i="15"/>
  <c r="BS59" i="15"/>
  <c r="CP59" i="15" s="1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AU59" i="15"/>
  <c r="AN59" i="15"/>
  <c r="CQ58" i="15"/>
  <c r="CO58" i="15"/>
  <c r="CM58" i="15"/>
  <c r="CK58" i="15"/>
  <c r="CI58" i="15"/>
  <c r="CD58" i="15"/>
  <c r="CG58" i="15" s="1"/>
  <c r="CC58" i="15"/>
  <c r="CA58" i="15"/>
  <c r="BZ58" i="15"/>
  <c r="BY58" i="15"/>
  <c r="BX58" i="15"/>
  <c r="BW58" i="15"/>
  <c r="BV58" i="15"/>
  <c r="BU58" i="15" s="1"/>
  <c r="CB58" i="15" s="1"/>
  <c r="BT58" i="15"/>
  <c r="BS58" i="15"/>
  <c r="CP58" i="15" s="1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AU58" i="15"/>
  <c r="AN58" i="15"/>
  <c r="CQ57" i="15"/>
  <c r="CO57" i="15"/>
  <c r="CM57" i="15"/>
  <c r="CK57" i="15"/>
  <c r="CI57" i="15"/>
  <c r="CD57" i="15"/>
  <c r="CG57" i="15" s="1"/>
  <c r="CC57" i="15"/>
  <c r="CA57" i="15"/>
  <c r="BZ57" i="15"/>
  <c r="BY57" i="15"/>
  <c r="BX57" i="15"/>
  <c r="BW57" i="15"/>
  <c r="BV57" i="15"/>
  <c r="BU57" i="15" s="1"/>
  <c r="CB57" i="15" s="1"/>
  <c r="BT57" i="15"/>
  <c r="BS57" i="15"/>
  <c r="CP57" i="15" s="1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AU57" i="15"/>
  <c r="AN57" i="15"/>
  <c r="CQ56" i="15"/>
  <c r="CO56" i="15"/>
  <c r="CM56" i="15"/>
  <c r="CK56" i="15"/>
  <c r="CI56" i="15"/>
  <c r="CD56" i="15"/>
  <c r="CG56" i="15" s="1"/>
  <c r="CC56" i="15"/>
  <c r="CA56" i="15"/>
  <c r="BZ56" i="15"/>
  <c r="BY56" i="15"/>
  <c r="BX56" i="15"/>
  <c r="BW56" i="15"/>
  <c r="BV56" i="15"/>
  <c r="BU56" i="15" s="1"/>
  <c r="CB56" i="15" s="1"/>
  <c r="BT56" i="15"/>
  <c r="BS56" i="15"/>
  <c r="CP56" i="15" s="1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AU56" i="15"/>
  <c r="AN56" i="15"/>
  <c r="CQ55" i="15"/>
  <c r="CO55" i="15"/>
  <c r="CM55" i="15"/>
  <c r="CK55" i="15"/>
  <c r="CI55" i="15"/>
  <c r="CD55" i="15"/>
  <c r="CG55" i="15" s="1"/>
  <c r="CC55" i="15"/>
  <c r="CA55" i="15"/>
  <c r="BZ55" i="15"/>
  <c r="BY55" i="15"/>
  <c r="BX55" i="15"/>
  <c r="BW55" i="15"/>
  <c r="BV55" i="15"/>
  <c r="BU55" i="15" s="1"/>
  <c r="CB55" i="15" s="1"/>
  <c r="BT55" i="15"/>
  <c r="BS55" i="15"/>
  <c r="CP55" i="15" s="1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AU55" i="15"/>
  <c r="AN55" i="15"/>
  <c r="CQ54" i="15"/>
  <c r="CO54" i="15"/>
  <c r="CM54" i="15"/>
  <c r="CK54" i="15"/>
  <c r="CI54" i="15"/>
  <c r="CD54" i="15"/>
  <c r="CG54" i="15" s="1"/>
  <c r="CC54" i="15"/>
  <c r="CA54" i="15"/>
  <c r="BZ54" i="15"/>
  <c r="BY54" i="15"/>
  <c r="BX54" i="15"/>
  <c r="BW54" i="15"/>
  <c r="BV54" i="15"/>
  <c r="BU54" i="15" s="1"/>
  <c r="CB54" i="15" s="1"/>
  <c r="BT54" i="15"/>
  <c r="BS54" i="15"/>
  <c r="CP54" i="15" s="1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AU54" i="15"/>
  <c r="AN54" i="15"/>
  <c r="CQ53" i="15"/>
  <c r="CO53" i="15"/>
  <c r="CM53" i="15"/>
  <c r="CK53" i="15"/>
  <c r="CI53" i="15"/>
  <c r="CD53" i="15"/>
  <c r="CG53" i="15" s="1"/>
  <c r="CC53" i="15"/>
  <c r="CA53" i="15"/>
  <c r="BZ53" i="15"/>
  <c r="BY53" i="15"/>
  <c r="BX53" i="15"/>
  <c r="BW53" i="15"/>
  <c r="BV53" i="15"/>
  <c r="BU53" i="15" s="1"/>
  <c r="CB53" i="15" s="1"/>
  <c r="BT53" i="15"/>
  <c r="BS53" i="15"/>
  <c r="CP53" i="15" s="1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AU53" i="15"/>
  <c r="AN53" i="15"/>
  <c r="CQ52" i="15"/>
  <c r="CO52" i="15"/>
  <c r="CM52" i="15"/>
  <c r="CK52" i="15"/>
  <c r="CI52" i="15"/>
  <c r="CD52" i="15"/>
  <c r="CG52" i="15" s="1"/>
  <c r="CC52" i="15"/>
  <c r="CA52" i="15"/>
  <c r="BZ52" i="15"/>
  <c r="BY52" i="15"/>
  <c r="BX52" i="15"/>
  <c r="BW52" i="15"/>
  <c r="BV52" i="15"/>
  <c r="BU52" i="15" s="1"/>
  <c r="CB52" i="15" s="1"/>
  <c r="BT52" i="15"/>
  <c r="BS52" i="15"/>
  <c r="CP52" i="15" s="1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AU52" i="15"/>
  <c r="AN52" i="15"/>
  <c r="CQ51" i="15"/>
  <c r="CO51" i="15"/>
  <c r="CM51" i="15"/>
  <c r="CK51" i="15"/>
  <c r="CI51" i="15"/>
  <c r="CD51" i="15"/>
  <c r="CG51" i="15" s="1"/>
  <c r="CC51" i="15"/>
  <c r="CA51" i="15"/>
  <c r="BZ51" i="15"/>
  <c r="BY51" i="15"/>
  <c r="BX51" i="15"/>
  <c r="BW51" i="15"/>
  <c r="BV51" i="15"/>
  <c r="BU51" i="15" s="1"/>
  <c r="CB51" i="15" s="1"/>
  <c r="BT51" i="15"/>
  <c r="BS51" i="15"/>
  <c r="CP51" i="15" s="1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AU51" i="15"/>
  <c r="AN51" i="15"/>
  <c r="CQ50" i="15"/>
  <c r="CO50" i="15"/>
  <c r="CM50" i="15"/>
  <c r="CK50" i="15"/>
  <c r="CI50" i="15"/>
  <c r="CD50" i="15"/>
  <c r="CG50" i="15" s="1"/>
  <c r="CC50" i="15"/>
  <c r="CA50" i="15"/>
  <c r="BZ50" i="15"/>
  <c r="BY50" i="15"/>
  <c r="BX50" i="15"/>
  <c r="BW50" i="15"/>
  <c r="BV50" i="15"/>
  <c r="BU50" i="15" s="1"/>
  <c r="CB50" i="15" s="1"/>
  <c r="BT50" i="15"/>
  <c r="BS50" i="15"/>
  <c r="CP50" i="15" s="1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AU50" i="15"/>
  <c r="AN50" i="15"/>
  <c r="CQ49" i="15"/>
  <c r="CO49" i="15"/>
  <c r="CM49" i="15"/>
  <c r="CK49" i="15"/>
  <c r="CI49" i="15"/>
  <c r="CD49" i="15"/>
  <c r="CG49" i="15" s="1"/>
  <c r="CC49" i="15"/>
  <c r="CA49" i="15"/>
  <c r="BZ49" i="15"/>
  <c r="BY49" i="15"/>
  <c r="BX49" i="15"/>
  <c r="BW49" i="15"/>
  <c r="BV49" i="15"/>
  <c r="BU49" i="15" s="1"/>
  <c r="CB49" i="15" s="1"/>
  <c r="BT49" i="15"/>
  <c r="BS49" i="15"/>
  <c r="CP49" i="15" s="1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AU49" i="15"/>
  <c r="AN49" i="15"/>
  <c r="CQ48" i="15"/>
  <c r="CO48" i="15"/>
  <c r="CM48" i="15"/>
  <c r="CK48" i="15"/>
  <c r="CI48" i="15"/>
  <c r="CD48" i="15"/>
  <c r="CG48" i="15" s="1"/>
  <c r="CC48" i="15"/>
  <c r="CA48" i="15"/>
  <c r="BZ48" i="15"/>
  <c r="BY48" i="15"/>
  <c r="BX48" i="15"/>
  <c r="BW48" i="15"/>
  <c r="BV48" i="15"/>
  <c r="BU48" i="15" s="1"/>
  <c r="CB48" i="15" s="1"/>
  <c r="BT48" i="15"/>
  <c r="BS48" i="15"/>
  <c r="CP48" i="15" s="1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AU48" i="15"/>
  <c r="AN48" i="15"/>
  <c r="CQ47" i="15"/>
  <c r="CO47" i="15"/>
  <c r="CM47" i="15"/>
  <c r="CK47" i="15"/>
  <c r="CI47" i="15"/>
  <c r="CD47" i="15"/>
  <c r="CG47" i="15" s="1"/>
  <c r="CC47" i="15"/>
  <c r="CA47" i="15"/>
  <c r="BZ47" i="15"/>
  <c r="BY47" i="15"/>
  <c r="BX47" i="15"/>
  <c r="BW47" i="15"/>
  <c r="BV47" i="15"/>
  <c r="BU47" i="15" s="1"/>
  <c r="CB47" i="15" s="1"/>
  <c r="BT47" i="15"/>
  <c r="BS47" i="15"/>
  <c r="CP47" i="15" s="1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AU47" i="15"/>
  <c r="AN47" i="15"/>
  <c r="CQ46" i="15"/>
  <c r="CO46" i="15"/>
  <c r="CM46" i="15"/>
  <c r="CK46" i="15"/>
  <c r="CI46" i="15"/>
  <c r="CD46" i="15"/>
  <c r="CG46" i="15" s="1"/>
  <c r="CC46" i="15"/>
  <c r="CA46" i="15"/>
  <c r="BZ46" i="15"/>
  <c r="BY46" i="15"/>
  <c r="BX46" i="15"/>
  <c r="BW46" i="15"/>
  <c r="BV46" i="15"/>
  <c r="BU46" i="15" s="1"/>
  <c r="CB46" i="15" s="1"/>
  <c r="BT46" i="15"/>
  <c r="BS46" i="15"/>
  <c r="CP46" i="15" s="1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AU46" i="15"/>
  <c r="AN46" i="15"/>
  <c r="CQ45" i="15"/>
  <c r="CO45" i="15"/>
  <c r="CM45" i="15"/>
  <c r="CK45" i="15"/>
  <c r="CI45" i="15"/>
  <c r="CD45" i="15"/>
  <c r="CG45" i="15" s="1"/>
  <c r="CC45" i="15"/>
  <c r="CA45" i="15"/>
  <c r="BZ45" i="15"/>
  <c r="BY45" i="15"/>
  <c r="BX45" i="15"/>
  <c r="BW45" i="15"/>
  <c r="BV45" i="15"/>
  <c r="BU45" i="15" s="1"/>
  <c r="CB45" i="15" s="1"/>
  <c r="BT45" i="15"/>
  <c r="BS45" i="15"/>
  <c r="CP45" i="15" s="1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AU45" i="15"/>
  <c r="AN45" i="15"/>
  <c r="CQ44" i="15"/>
  <c r="CO44" i="15"/>
  <c r="CM44" i="15"/>
  <c r="CK44" i="15"/>
  <c r="CI44" i="15"/>
  <c r="CD44" i="15"/>
  <c r="CG44" i="15" s="1"/>
  <c r="CC44" i="15"/>
  <c r="CA44" i="15"/>
  <c r="BZ44" i="15"/>
  <c r="BY44" i="15"/>
  <c r="BX44" i="15"/>
  <c r="BW44" i="15"/>
  <c r="BV44" i="15"/>
  <c r="BU44" i="15" s="1"/>
  <c r="CB44" i="15" s="1"/>
  <c r="BT44" i="15"/>
  <c r="BS44" i="15"/>
  <c r="CP44" i="15" s="1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AU44" i="15"/>
  <c r="AN44" i="15"/>
  <c r="CQ43" i="15"/>
  <c r="CO43" i="15"/>
  <c r="CM43" i="15"/>
  <c r="CK43" i="15"/>
  <c r="CI43" i="15"/>
  <c r="CD43" i="15"/>
  <c r="CG43" i="15" s="1"/>
  <c r="CC43" i="15"/>
  <c r="CA43" i="15"/>
  <c r="BZ43" i="15"/>
  <c r="BY43" i="15"/>
  <c r="BX43" i="15"/>
  <c r="BW43" i="15"/>
  <c r="BV43" i="15"/>
  <c r="BU43" i="15" s="1"/>
  <c r="CB43" i="15" s="1"/>
  <c r="BT43" i="15"/>
  <c r="BS43" i="15"/>
  <c r="CP43" i="15" s="1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AU43" i="15"/>
  <c r="AN43" i="15"/>
  <c r="CQ42" i="15"/>
  <c r="CO42" i="15"/>
  <c r="CM42" i="15"/>
  <c r="CK42" i="15"/>
  <c r="CI42" i="15"/>
  <c r="CD42" i="15"/>
  <c r="CG42" i="15" s="1"/>
  <c r="CC42" i="15"/>
  <c r="CA42" i="15"/>
  <c r="BZ42" i="15"/>
  <c r="BY42" i="15"/>
  <c r="BX42" i="15"/>
  <c r="BW42" i="15"/>
  <c r="BV42" i="15"/>
  <c r="BU42" i="15" s="1"/>
  <c r="CB42" i="15" s="1"/>
  <c r="BT42" i="15"/>
  <c r="BS42" i="15"/>
  <c r="CP42" i="15" s="1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AU42" i="15"/>
  <c r="AN42" i="15"/>
  <c r="CQ41" i="15"/>
  <c r="CO41" i="15"/>
  <c r="CM41" i="15"/>
  <c r="CK41" i="15"/>
  <c r="CI41" i="15"/>
  <c r="CD41" i="15"/>
  <c r="CG41" i="15" s="1"/>
  <c r="CC41" i="15"/>
  <c r="CA41" i="15"/>
  <c r="BZ41" i="15"/>
  <c r="BY41" i="15"/>
  <c r="BX41" i="15"/>
  <c r="BW41" i="15"/>
  <c r="BV41" i="15"/>
  <c r="BU41" i="15" s="1"/>
  <c r="CB41" i="15" s="1"/>
  <c r="BT41" i="15"/>
  <c r="BS41" i="15"/>
  <c r="CP41" i="15" s="1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AU41" i="15"/>
  <c r="AN41" i="15"/>
  <c r="CQ40" i="15"/>
  <c r="CO40" i="15"/>
  <c r="CM40" i="15"/>
  <c r="CK40" i="15"/>
  <c r="CI40" i="15"/>
  <c r="CD40" i="15"/>
  <c r="CG40" i="15" s="1"/>
  <c r="CC40" i="15"/>
  <c r="CA40" i="15"/>
  <c r="BZ40" i="15"/>
  <c r="BY40" i="15"/>
  <c r="BX40" i="15"/>
  <c r="BW40" i="15"/>
  <c r="BV40" i="15"/>
  <c r="BU40" i="15" s="1"/>
  <c r="CB40" i="15" s="1"/>
  <c r="BT40" i="15"/>
  <c r="BS40" i="15"/>
  <c r="CP40" i="15" s="1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AU40" i="15"/>
  <c r="AN40" i="15"/>
  <c r="CQ39" i="15"/>
  <c r="CO39" i="15"/>
  <c r="CM39" i="15"/>
  <c r="CK39" i="15"/>
  <c r="CI39" i="15"/>
  <c r="CD39" i="15"/>
  <c r="CG39" i="15" s="1"/>
  <c r="CC39" i="15"/>
  <c r="CA39" i="15"/>
  <c r="BZ39" i="15"/>
  <c r="BY39" i="15"/>
  <c r="BX39" i="15"/>
  <c r="BW39" i="15"/>
  <c r="BV39" i="15"/>
  <c r="BU39" i="15" s="1"/>
  <c r="CB39" i="15" s="1"/>
  <c r="BT39" i="15"/>
  <c r="BS39" i="15"/>
  <c r="CP39" i="15" s="1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AU39" i="15"/>
  <c r="AN39" i="15"/>
  <c r="CQ38" i="15"/>
  <c r="CO38" i="15"/>
  <c r="CM38" i="15"/>
  <c r="CK38" i="15"/>
  <c r="CI38" i="15"/>
  <c r="CD38" i="15"/>
  <c r="CG38" i="15" s="1"/>
  <c r="CC38" i="15"/>
  <c r="CA38" i="15"/>
  <c r="BZ38" i="15"/>
  <c r="BY38" i="15"/>
  <c r="BX38" i="15"/>
  <c r="BW38" i="15"/>
  <c r="BV38" i="15"/>
  <c r="BU38" i="15" s="1"/>
  <c r="CB38" i="15" s="1"/>
  <c r="BT38" i="15"/>
  <c r="BS38" i="15"/>
  <c r="CP38" i="15" s="1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AU38" i="15"/>
  <c r="AN38" i="15"/>
  <c r="CQ37" i="15"/>
  <c r="CO37" i="15"/>
  <c r="CM37" i="15"/>
  <c r="CK37" i="15"/>
  <c r="CI37" i="15"/>
  <c r="CD37" i="15"/>
  <c r="CG37" i="15" s="1"/>
  <c r="CC37" i="15"/>
  <c r="CA37" i="15"/>
  <c r="BZ37" i="15"/>
  <c r="BY37" i="15"/>
  <c r="BX37" i="15"/>
  <c r="BW37" i="15"/>
  <c r="BV37" i="15"/>
  <c r="BU37" i="15" s="1"/>
  <c r="CB37" i="15" s="1"/>
  <c r="BT37" i="15"/>
  <c r="BS37" i="15"/>
  <c r="CP37" i="15" s="1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AU37" i="15"/>
  <c r="AN37" i="15"/>
  <c r="CQ36" i="15"/>
  <c r="CO36" i="15"/>
  <c r="CM36" i="15"/>
  <c r="CK36" i="15"/>
  <c r="CI36" i="15"/>
  <c r="CD36" i="15"/>
  <c r="CG36" i="15" s="1"/>
  <c r="CC36" i="15"/>
  <c r="CA36" i="15"/>
  <c r="BZ36" i="15"/>
  <c r="BY36" i="15"/>
  <c r="BX36" i="15"/>
  <c r="BW36" i="15"/>
  <c r="BV36" i="15"/>
  <c r="BU36" i="15" s="1"/>
  <c r="CB36" i="15" s="1"/>
  <c r="BT36" i="15"/>
  <c r="BS36" i="15"/>
  <c r="CP36" i="15" s="1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AU36" i="15"/>
  <c r="AN36" i="15"/>
  <c r="CQ35" i="15"/>
  <c r="CO35" i="15"/>
  <c r="CM35" i="15"/>
  <c r="CK35" i="15"/>
  <c r="CI35" i="15"/>
  <c r="CD35" i="15"/>
  <c r="CG35" i="15" s="1"/>
  <c r="CC35" i="15"/>
  <c r="CA35" i="15"/>
  <c r="BZ35" i="15"/>
  <c r="BY35" i="15"/>
  <c r="BX35" i="15"/>
  <c r="BW35" i="15"/>
  <c r="BV35" i="15"/>
  <c r="BU35" i="15" s="1"/>
  <c r="CB35" i="15" s="1"/>
  <c r="BT35" i="15"/>
  <c r="BS35" i="15"/>
  <c r="CP35" i="15" s="1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AU35" i="15"/>
  <c r="AN35" i="15"/>
  <c r="CQ34" i="15"/>
  <c r="CO34" i="15"/>
  <c r="CM34" i="15"/>
  <c r="CK34" i="15"/>
  <c r="CI34" i="15"/>
  <c r="CD34" i="15"/>
  <c r="CG34" i="15" s="1"/>
  <c r="CC34" i="15"/>
  <c r="CA34" i="15"/>
  <c r="BZ34" i="15"/>
  <c r="BY34" i="15"/>
  <c r="BX34" i="15"/>
  <c r="BW34" i="15"/>
  <c r="BV34" i="15"/>
  <c r="BU34" i="15" s="1"/>
  <c r="CB34" i="15" s="1"/>
  <c r="BT34" i="15"/>
  <c r="BS34" i="15"/>
  <c r="CP34" i="15" s="1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AU34" i="15"/>
  <c r="AN34" i="15"/>
  <c r="CQ33" i="15"/>
  <c r="CO33" i="15"/>
  <c r="CM33" i="15"/>
  <c r="CK33" i="15"/>
  <c r="CI33" i="15"/>
  <c r="CD33" i="15"/>
  <c r="CG33" i="15" s="1"/>
  <c r="CC33" i="15"/>
  <c r="CA33" i="15"/>
  <c r="BZ33" i="15"/>
  <c r="BY33" i="15"/>
  <c r="BX33" i="15"/>
  <c r="BW33" i="15"/>
  <c r="BV33" i="15"/>
  <c r="BU33" i="15" s="1"/>
  <c r="CB33" i="15" s="1"/>
  <c r="BT33" i="15"/>
  <c r="BS33" i="15"/>
  <c r="CP33" i="15" s="1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AU33" i="15"/>
  <c r="AN33" i="15"/>
  <c r="CQ32" i="15"/>
  <c r="CO32" i="15"/>
  <c r="CM32" i="15"/>
  <c r="CK32" i="15"/>
  <c r="CI32" i="15"/>
  <c r="CD32" i="15"/>
  <c r="CG32" i="15" s="1"/>
  <c r="CC32" i="15"/>
  <c r="CA32" i="15"/>
  <c r="BZ32" i="15"/>
  <c r="BY32" i="15"/>
  <c r="BX32" i="15"/>
  <c r="BW32" i="15"/>
  <c r="BV32" i="15"/>
  <c r="BU32" i="15" s="1"/>
  <c r="CB32" i="15" s="1"/>
  <c r="BT32" i="15"/>
  <c r="BS32" i="15"/>
  <c r="CP32" i="15" s="1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AU32" i="15"/>
  <c r="AN32" i="15"/>
  <c r="CQ31" i="15"/>
  <c r="CO31" i="15"/>
  <c r="CM31" i="15"/>
  <c r="CK31" i="15"/>
  <c r="CI31" i="15"/>
  <c r="CD31" i="15"/>
  <c r="CG31" i="15" s="1"/>
  <c r="CC31" i="15"/>
  <c r="CA31" i="15"/>
  <c r="BZ31" i="15"/>
  <c r="BY31" i="15"/>
  <c r="BX31" i="15"/>
  <c r="BW31" i="15"/>
  <c r="BV31" i="15"/>
  <c r="BU31" i="15" s="1"/>
  <c r="CB31" i="15" s="1"/>
  <c r="BT31" i="15"/>
  <c r="BS31" i="15"/>
  <c r="CP31" i="15" s="1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AU31" i="15"/>
  <c r="AN31" i="15"/>
  <c r="AN82" i="15" s="1"/>
  <c r="CQ30" i="15"/>
  <c r="CO30" i="15"/>
  <c r="CM30" i="15"/>
  <c r="CK30" i="15"/>
  <c r="CI30" i="15"/>
  <c r="CD30" i="15"/>
  <c r="CG30" i="15" s="1"/>
  <c r="CC30" i="15"/>
  <c r="CA30" i="15"/>
  <c r="BZ30" i="15"/>
  <c r="BY30" i="15"/>
  <c r="BX30" i="15"/>
  <c r="BW30" i="15"/>
  <c r="BV30" i="15"/>
  <c r="BU30" i="15" s="1"/>
  <c r="CB30" i="15" s="1"/>
  <c r="BT30" i="15"/>
  <c r="BS30" i="15"/>
  <c r="CP30" i="15" s="1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AU30" i="15"/>
  <c r="AU81" i="15" s="1"/>
  <c r="AU78" i="15" s="1"/>
  <c r="AN30" i="15"/>
  <c r="AN81" i="15" s="1"/>
  <c r="CQ29" i="15"/>
  <c r="CO29" i="15"/>
  <c r="CM29" i="15"/>
  <c r="CK29" i="15"/>
  <c r="CI29" i="15"/>
  <c r="CD29" i="15"/>
  <c r="CG29" i="15" s="1"/>
  <c r="CC29" i="15"/>
  <c r="CA29" i="15"/>
  <c r="BZ29" i="15"/>
  <c r="BY29" i="15"/>
  <c r="BX29" i="15"/>
  <c r="BW29" i="15"/>
  <c r="BV29" i="15"/>
  <c r="BU29" i="15" s="1"/>
  <c r="CB29" i="15" s="1"/>
  <c r="BT29" i="15"/>
  <c r="BS29" i="15"/>
  <c r="BR29" i="15"/>
  <c r="BQ29" i="15"/>
  <c r="BP29" i="15"/>
  <c r="BO29" i="15"/>
  <c r="AD44" i="17" s="1"/>
  <c r="BN29" i="15"/>
  <c r="AD48" i="17" s="1"/>
  <c r="BM29" i="15"/>
  <c r="AD43" i="17" s="1"/>
  <c r="BL29" i="15"/>
  <c r="BK29" i="15"/>
  <c r="BJ29" i="15"/>
  <c r="BI29" i="15"/>
  <c r="BH29" i="15"/>
  <c r="BG29" i="15"/>
  <c r="BF29" i="15"/>
  <c r="BE29" i="15"/>
  <c r="AU29" i="15"/>
  <c r="AN29" i="15"/>
  <c r="B29" i="15"/>
  <c r="AB21" i="15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D2" i="15"/>
  <c r="BC2" i="15"/>
  <c r="AD40" i="14"/>
  <c r="AC40" i="14"/>
  <c r="AD38" i="14"/>
  <c r="AE34" i="21" s="1"/>
  <c r="AE59" i="21" s="1"/>
  <c r="AE37" i="14"/>
  <c r="AF33" i="21" s="1"/>
  <c r="AF58" i="21" s="1"/>
  <c r="AD37" i="14"/>
  <c r="AE33" i="21" s="1"/>
  <c r="AE58" i="21" s="1"/>
  <c r="AD36" i="14"/>
  <c r="AE32" i="21" s="1"/>
  <c r="AE57" i="21" s="1"/>
  <c r="AE35" i="14"/>
  <c r="AF31" i="21" s="1"/>
  <c r="AD35" i="14"/>
  <c r="AE31" i="21" s="1"/>
  <c r="AD34" i="14"/>
  <c r="AE30" i="21" s="1"/>
  <c r="AE54" i="21" s="1"/>
  <c r="AE33" i="14"/>
  <c r="AF29" i="21" s="1"/>
  <c r="AF53" i="21" s="1"/>
  <c r="AD33" i="14"/>
  <c r="AE29" i="21" s="1"/>
  <c r="AE53" i="21" s="1"/>
  <c r="AD32" i="14"/>
  <c r="AE28" i="21" s="1"/>
  <c r="AE52" i="21" s="1"/>
  <c r="AE31" i="14"/>
  <c r="AF27" i="21" s="1"/>
  <c r="AD31" i="14"/>
  <c r="AE27" i="21" s="1"/>
  <c r="AE30" i="14"/>
  <c r="AE31" i="18" s="1"/>
  <c r="AE29" i="14"/>
  <c r="AE30" i="18" s="1"/>
  <c r="AE28" i="14"/>
  <c r="AE29" i="18" s="1"/>
  <c r="AE27" i="14"/>
  <c r="AE28" i="18" s="1"/>
  <c r="AE26" i="14"/>
  <c r="AD26" i="14"/>
  <c r="AE24" i="14"/>
  <c r="AB21" i="14"/>
  <c r="AE2" i="14"/>
  <c r="AD30" i="13"/>
  <c r="AC30" i="13"/>
  <c r="AE26" i="13"/>
  <c r="AD26" i="13"/>
  <c r="AD28" i="13" s="1"/>
  <c r="AE28" i="20" s="1"/>
  <c r="AE24" i="13"/>
  <c r="AB21" i="13"/>
  <c r="AE2" i="13"/>
  <c r="AC53" i="12"/>
  <c r="AI49" i="12"/>
  <c r="AG49" i="12"/>
  <c r="AI48" i="12"/>
  <c r="AG48" i="12"/>
  <c r="AI46" i="12"/>
  <c r="AG45" i="12"/>
  <c r="AI45" i="12" s="1"/>
  <c r="AI44" i="12" s="1"/>
  <c r="AG44" i="12"/>
  <c r="AG43" i="12"/>
  <c r="AI43" i="12" s="1"/>
  <c r="AG42" i="12"/>
  <c r="AI42" i="12" s="1"/>
  <c r="AG41" i="12"/>
  <c r="AI41" i="12" s="1"/>
  <c r="AI39" i="12"/>
  <c r="AG39" i="12"/>
  <c r="AG36" i="12"/>
  <c r="AI36" i="12" s="1"/>
  <c r="AG35" i="12"/>
  <c r="AI35" i="12" s="1"/>
  <c r="AG34" i="12"/>
  <c r="AI34" i="12" s="1"/>
  <c r="AG33" i="12"/>
  <c r="AI33" i="12" s="1"/>
  <c r="AG32" i="12"/>
  <c r="AI32" i="12" s="1"/>
  <c r="AG31" i="12"/>
  <c r="AI31" i="12" s="1"/>
  <c r="AI28" i="12"/>
  <c r="AG28" i="12"/>
  <c r="AE24" i="12"/>
  <c r="AB21" i="12"/>
  <c r="AC45" i="11"/>
  <c r="AI42" i="11"/>
  <c r="AG42" i="11"/>
  <c r="AI41" i="11"/>
  <c r="AG41" i="11"/>
  <c r="AI40" i="11"/>
  <c r="AG40" i="11"/>
  <c r="AI39" i="11"/>
  <c r="AG39" i="11"/>
  <c r="AI37" i="11"/>
  <c r="AG36" i="11"/>
  <c r="AI36" i="11" s="1"/>
  <c r="AI35" i="11" s="1"/>
  <c r="AG35" i="11"/>
  <c r="AG34" i="11"/>
  <c r="AI34" i="11" s="1"/>
  <c r="AG33" i="11"/>
  <c r="AI33" i="11" s="1"/>
  <c r="AG32" i="11"/>
  <c r="AI32" i="11" s="1"/>
  <c r="AI31" i="11" s="1"/>
  <c r="AI28" i="11" s="1"/>
  <c r="AI43" i="11" s="1"/>
  <c r="AI30" i="11"/>
  <c r="AG30" i="11"/>
  <c r="AB21" i="11"/>
  <c r="AA2" i="11"/>
  <c r="AD52" i="10"/>
  <c r="AC52" i="10"/>
  <c r="AG49" i="10"/>
  <c r="AI49" i="10" s="1"/>
  <c r="AG48" i="10"/>
  <c r="AI48" i="10" s="1"/>
  <c r="AI46" i="10" s="1"/>
  <c r="AI45" i="10"/>
  <c r="AG45" i="10"/>
  <c r="AI44" i="10"/>
  <c r="AG44" i="10"/>
  <c r="AI43" i="10"/>
  <c r="AG43" i="10"/>
  <c r="AI42" i="10"/>
  <c r="AG42" i="10"/>
  <c r="AI41" i="10"/>
  <c r="AG41" i="10"/>
  <c r="AI40" i="10"/>
  <c r="AG40" i="10"/>
  <c r="AI39" i="10"/>
  <c r="AG39" i="10"/>
  <c r="AI37" i="10"/>
  <c r="AG36" i="10"/>
  <c r="AG35" i="10"/>
  <c r="AG34" i="10"/>
  <c r="AG33" i="10"/>
  <c r="AG31" i="10"/>
  <c r="AI31" i="10" s="1"/>
  <c r="AG30" i="10"/>
  <c r="AI30" i="10" s="1"/>
  <c r="AE24" i="10"/>
  <c r="AB21" i="10"/>
  <c r="AA2" i="10"/>
  <c r="AB32" i="9"/>
  <c r="AB33" i="9" s="1"/>
  <c r="B33" i="9" s="1"/>
  <c r="B32" i="9"/>
  <c r="B31" i="9"/>
  <c r="B30" i="9"/>
  <c r="B29" i="9"/>
  <c r="B28" i="9"/>
  <c r="B27" i="9"/>
  <c r="B26" i="9"/>
  <c r="AB21" i="9"/>
  <c r="AA2" i="9"/>
  <c r="B42" i="8"/>
  <c r="B41" i="8"/>
  <c r="B40" i="8"/>
  <c r="B39" i="8"/>
  <c r="B37" i="8"/>
  <c r="AE36" i="8"/>
  <c r="B36" i="8"/>
  <c r="B35" i="8"/>
  <c r="B34" i="8"/>
  <c r="B32" i="8"/>
  <c r="B31" i="8"/>
  <c r="B30" i="8"/>
  <c r="B28" i="8"/>
  <c r="B27" i="8"/>
  <c r="B26" i="8"/>
  <c r="B25" i="8"/>
  <c r="B24" i="8"/>
  <c r="AA2" i="8"/>
  <c r="B39" i="7"/>
  <c r="AC32" i="7"/>
  <c r="AE2" i="7"/>
  <c r="AA2" i="7"/>
  <c r="W18" i="3"/>
  <c r="P18" i="3"/>
  <c r="BO13" i="3"/>
  <c r="BJ13" i="3"/>
  <c r="BM13" i="3" s="1"/>
  <c r="BI13" i="3"/>
  <c r="BG13" i="3"/>
  <c r="BF13" i="3"/>
  <c r="BE13" i="3"/>
  <c r="BD13" i="3"/>
  <c r="BC13" i="3"/>
  <c r="BB13" i="3"/>
  <c r="BA13" i="3" s="1"/>
  <c r="BH13" i="3" s="1"/>
  <c r="AZ13" i="3"/>
  <c r="AY13" i="3"/>
  <c r="BN13" i="3" s="1"/>
  <c r="AX13" i="3"/>
  <c r="AW13" i="3"/>
  <c r="AS13" i="3"/>
  <c r="AR13" i="3"/>
  <c r="AQ13" i="3"/>
  <c r="AP13" i="3"/>
  <c r="Z13" i="3"/>
  <c r="S13" i="3"/>
  <c r="G48" i="2"/>
  <c r="G47" i="2"/>
  <c r="G46" i="2"/>
  <c r="G45" i="2"/>
  <c r="G44" i="2"/>
  <c r="G40" i="2"/>
  <c r="G39" i="2"/>
  <c r="G38" i="2"/>
  <c r="G37" i="2"/>
  <c r="G31" i="2"/>
  <c r="G30" i="2"/>
  <c r="G29" i="2"/>
  <c r="B16" i="1"/>
  <c r="AI28" i="10" l="1"/>
  <c r="AI50" i="10" s="1"/>
  <c r="AI29" i="12"/>
  <c r="AI50" i="12" s="1"/>
  <c r="AI40" i="12"/>
  <c r="AI37" i="12" s="1"/>
  <c r="AD65" i="20"/>
  <c r="AD66" i="20" s="1"/>
  <c r="AE52" i="20" s="1"/>
  <c r="AE39" i="20" s="1"/>
  <c r="AD27" i="22" s="1"/>
  <c r="AE28" i="13"/>
  <c r="AF28" i="20" s="1"/>
  <c r="AE41" i="18"/>
  <c r="AE36" i="18"/>
  <c r="AE34" i="14"/>
  <c r="AF30" i="21" s="1"/>
  <c r="AF54" i="21" s="1"/>
  <c r="AF85" i="21"/>
  <c r="AF56" i="21"/>
  <c r="AE36" i="14"/>
  <c r="AF32" i="21" s="1"/>
  <c r="AF57" i="21" s="1"/>
  <c r="AE38" i="14"/>
  <c r="AF34" i="21" s="1"/>
  <c r="AF59" i="21" s="1"/>
  <c r="CQ62" i="15"/>
  <c r="CO62" i="15"/>
  <c r="CM62" i="15"/>
  <c r="CK62" i="15"/>
  <c r="CI62" i="15"/>
  <c r="CG62" i="15"/>
  <c r="CH62" i="15"/>
  <c r="CL62" i="15"/>
  <c r="CP62" i="15"/>
  <c r="CQ63" i="15"/>
  <c r="CO63" i="15"/>
  <c r="CM63" i="15"/>
  <c r="CK63" i="15"/>
  <c r="CI63" i="15"/>
  <c r="CG63" i="15"/>
  <c r="CH63" i="15"/>
  <c r="CL63" i="15"/>
  <c r="CP63" i="15"/>
  <c r="CQ64" i="15"/>
  <c r="CO64" i="15"/>
  <c r="CM64" i="15"/>
  <c r="CK64" i="15"/>
  <c r="CI64" i="15"/>
  <c r="CG64" i="15"/>
  <c r="CH64" i="15"/>
  <c r="CL64" i="15"/>
  <c r="CP64" i="15"/>
  <c r="CQ65" i="15"/>
  <c r="CO65" i="15"/>
  <c r="CM65" i="15"/>
  <c r="CK65" i="15"/>
  <c r="CI65" i="15"/>
  <c r="CG65" i="15"/>
  <c r="CH65" i="15"/>
  <c r="CL65" i="15"/>
  <c r="CP65" i="15"/>
  <c r="CQ66" i="15"/>
  <c r="CO66" i="15"/>
  <c r="CM66" i="15"/>
  <c r="CK66" i="15"/>
  <c r="CI66" i="15"/>
  <c r="CG66" i="15"/>
  <c r="CH66" i="15"/>
  <c r="CL66" i="15"/>
  <c r="CP66" i="15"/>
  <c r="CQ67" i="15"/>
  <c r="CO67" i="15"/>
  <c r="CM67" i="15"/>
  <c r="CK67" i="15"/>
  <c r="CI67" i="15"/>
  <c r="CG67" i="15"/>
  <c r="CH67" i="15"/>
  <c r="CL67" i="15"/>
  <c r="CP67" i="15"/>
  <c r="CQ68" i="15"/>
  <c r="CO68" i="15"/>
  <c r="CM68" i="15"/>
  <c r="CK68" i="15"/>
  <c r="CI68" i="15"/>
  <c r="CG68" i="15"/>
  <c r="CH68" i="15"/>
  <c r="CL68" i="15"/>
  <c r="CP68" i="15"/>
  <c r="CQ69" i="15"/>
  <c r="CO69" i="15"/>
  <c r="CM69" i="15"/>
  <c r="CK69" i="15"/>
  <c r="CI69" i="15"/>
  <c r="CG69" i="15"/>
  <c r="CH69" i="15"/>
  <c r="CL69" i="15"/>
  <c r="CP69" i="15"/>
  <c r="CQ70" i="15"/>
  <c r="CO70" i="15"/>
  <c r="CM70" i="15"/>
  <c r="CK70" i="15"/>
  <c r="CI70" i="15"/>
  <c r="CG70" i="15"/>
  <c r="CP70" i="15"/>
  <c r="CN70" i="15"/>
  <c r="CL70" i="15"/>
  <c r="CJ70" i="15"/>
  <c r="CH70" i="15"/>
  <c r="AN78" i="15"/>
  <c r="AD27" i="13" s="1" a="1"/>
  <c r="AD27" i="13" s="1"/>
  <c r="AE27" i="20" s="1"/>
  <c r="AE43" i="18"/>
  <c r="AE38" i="18"/>
  <c r="AF81" i="21"/>
  <c r="AF51" i="21"/>
  <c r="AF50" i="21" s="1"/>
  <c r="AE26" i="23" s="1"/>
  <c r="AE32" i="14"/>
  <c r="AF28" i="21" s="1"/>
  <c r="AF52" i="21" s="1"/>
  <c r="AD49" i="17"/>
  <c r="CB82" i="15"/>
  <c r="BZ82" i="15"/>
  <c r="BX82" i="15"/>
  <c r="BV82" i="15"/>
  <c r="CC82" i="15"/>
  <c r="CA82" i="15"/>
  <c r="BY82" i="15"/>
  <c r="BW82" i="15"/>
  <c r="BU82" i="15"/>
  <c r="AD39" i="17"/>
  <c r="AU82" i="15"/>
  <c r="BL13" i="3"/>
  <c r="AH24" i="24"/>
  <c r="AE24" i="23"/>
  <c r="AD24" i="22"/>
  <c r="AG72" i="21"/>
  <c r="AG71" i="21"/>
  <c r="AG70" i="21"/>
  <c r="AE70" i="21"/>
  <c r="AD24" i="24"/>
  <c r="AD24" i="23"/>
  <c r="AE24" i="22"/>
  <c r="AE72" i="21"/>
  <c r="AE71" i="21"/>
  <c r="AF70" i="21"/>
  <c r="AD70" i="21"/>
  <c r="AE24" i="21"/>
  <c r="AG52" i="20"/>
  <c r="AG51" i="20"/>
  <c r="AG50" i="20"/>
  <c r="AE50" i="20"/>
  <c r="AE24" i="20"/>
  <c r="AF41" i="19"/>
  <c r="AF37" i="19"/>
  <c r="AF32" i="19"/>
  <c r="AE28" i="19"/>
  <c r="AE24" i="19"/>
  <c r="AE24" i="18"/>
  <c r="AF24" i="21"/>
  <c r="AF50" i="20"/>
  <c r="AD50" i="20"/>
  <c r="AF24" i="20"/>
  <c r="AE41" i="19"/>
  <c r="AE37" i="19"/>
  <c r="AE32" i="19"/>
  <c r="AF28" i="19"/>
  <c r="AF24" i="19"/>
  <c r="AD24" i="18"/>
  <c r="AD24" i="17"/>
  <c r="AE24" i="17"/>
  <c r="B29" i="8"/>
  <c r="B33" i="8"/>
  <c r="B38" i="8"/>
  <c r="AE24" i="11"/>
  <c r="AD24" i="13"/>
  <c r="AD24" i="14"/>
  <c r="AE40" i="18"/>
  <c r="AE35" i="18"/>
  <c r="AE27" i="18"/>
  <c r="AE42" i="18"/>
  <c r="AE37" i="18"/>
  <c r="AD81" i="21"/>
  <c r="AE51" i="21"/>
  <c r="AE50" i="21" s="1"/>
  <c r="AD26" i="23" s="1"/>
  <c r="AD85" i="21"/>
  <c r="AE56" i="21"/>
  <c r="AE55" i="21" s="1"/>
  <c r="AD27" i="23" s="1"/>
  <c r="AB22" i="15"/>
  <c r="BT82" i="15"/>
  <c r="CC81" i="15"/>
  <c r="CA81" i="15"/>
  <c r="BY81" i="15"/>
  <c r="BW81" i="15"/>
  <c r="BU81" i="15"/>
  <c r="CB80" i="15"/>
  <c r="BZ80" i="15"/>
  <c r="BX80" i="15"/>
  <c r="BV80" i="15"/>
  <c r="BT80" i="15"/>
  <c r="CC79" i="15"/>
  <c r="CA79" i="15"/>
  <c r="BY79" i="15"/>
  <c r="BW79" i="15"/>
  <c r="BU79" i="15"/>
  <c r="CB81" i="15"/>
  <c r="BZ81" i="15"/>
  <c r="BX81" i="15"/>
  <c r="BV81" i="15"/>
  <c r="BT81" i="15"/>
  <c r="CC80" i="15"/>
  <c r="CA80" i="15"/>
  <c r="BY80" i="15"/>
  <c r="BW80" i="15"/>
  <c r="BU80" i="15"/>
  <c r="CB79" i="15"/>
  <c r="CB78" i="15" s="1"/>
  <c r="BZ79" i="15"/>
  <c r="BZ78" i="15" s="1"/>
  <c r="BX79" i="15"/>
  <c r="BX78" i="15" s="1"/>
  <c r="BV79" i="15"/>
  <c r="BV78" i="15" s="1"/>
  <c r="BT79" i="15"/>
  <c r="BT78" i="15" s="1"/>
  <c r="CF29" i="15"/>
  <c r="CH29" i="15"/>
  <c r="CJ29" i="15"/>
  <c r="CL29" i="15"/>
  <c r="CN29" i="15"/>
  <c r="CP29" i="15"/>
  <c r="CF30" i="15"/>
  <c r="CH30" i="15"/>
  <c r="CJ30" i="15"/>
  <c r="CL30" i="15"/>
  <c r="CN30" i="15"/>
  <c r="CF31" i="15"/>
  <c r="CH31" i="15"/>
  <c r="CJ31" i="15"/>
  <c r="CL31" i="15"/>
  <c r="CN31" i="15"/>
  <c r="CF32" i="15"/>
  <c r="CH32" i="15"/>
  <c r="CJ32" i="15"/>
  <c r="CL32" i="15"/>
  <c r="CN32" i="15"/>
  <c r="CF33" i="15"/>
  <c r="CH33" i="15"/>
  <c r="CJ33" i="15"/>
  <c r="CL33" i="15"/>
  <c r="CN33" i="15"/>
  <c r="CF34" i="15"/>
  <c r="CH34" i="15"/>
  <c r="CJ34" i="15"/>
  <c r="CL34" i="15"/>
  <c r="CN34" i="15"/>
  <c r="CF35" i="15"/>
  <c r="CH35" i="15"/>
  <c r="CJ35" i="15"/>
  <c r="CL35" i="15"/>
  <c r="CN35" i="15"/>
  <c r="CF36" i="15"/>
  <c r="CH36" i="15"/>
  <c r="CJ36" i="15"/>
  <c r="CL36" i="15"/>
  <c r="CN36" i="15"/>
  <c r="CF37" i="15"/>
  <c r="CH37" i="15"/>
  <c r="CJ37" i="15"/>
  <c r="CL37" i="15"/>
  <c r="CN37" i="15"/>
  <c r="CF38" i="15"/>
  <c r="CH38" i="15"/>
  <c r="CJ38" i="15"/>
  <c r="CL38" i="15"/>
  <c r="CN38" i="15"/>
  <c r="CF39" i="15"/>
  <c r="CH39" i="15"/>
  <c r="CJ39" i="15"/>
  <c r="CL39" i="15"/>
  <c r="CN39" i="15"/>
  <c r="CF40" i="15"/>
  <c r="CH40" i="15"/>
  <c r="CJ40" i="15"/>
  <c r="CL40" i="15"/>
  <c r="CN40" i="15"/>
  <c r="CF41" i="15"/>
  <c r="CH41" i="15"/>
  <c r="CJ41" i="15"/>
  <c r="CL41" i="15"/>
  <c r="CN41" i="15"/>
  <c r="CF42" i="15"/>
  <c r="CH42" i="15"/>
  <c r="CJ42" i="15"/>
  <c r="CL42" i="15"/>
  <c r="CN42" i="15"/>
  <c r="CF43" i="15"/>
  <c r="CH43" i="15"/>
  <c r="CJ43" i="15"/>
  <c r="CL43" i="15"/>
  <c r="CN43" i="15"/>
  <c r="CF44" i="15"/>
  <c r="CH44" i="15"/>
  <c r="CJ44" i="15"/>
  <c r="CL44" i="15"/>
  <c r="CN44" i="15"/>
  <c r="CF45" i="15"/>
  <c r="CH45" i="15"/>
  <c r="CJ45" i="15"/>
  <c r="CL45" i="15"/>
  <c r="CN45" i="15"/>
  <c r="CF46" i="15"/>
  <c r="CH46" i="15"/>
  <c r="CJ46" i="15"/>
  <c r="CL46" i="15"/>
  <c r="CN46" i="15"/>
  <c r="CF47" i="15"/>
  <c r="CH47" i="15"/>
  <c r="CJ47" i="15"/>
  <c r="CL47" i="15"/>
  <c r="CN47" i="15"/>
  <c r="CF48" i="15"/>
  <c r="CH48" i="15"/>
  <c r="CJ48" i="15"/>
  <c r="CL48" i="15"/>
  <c r="CN48" i="15"/>
  <c r="CF49" i="15"/>
  <c r="CH49" i="15"/>
  <c r="CJ49" i="15"/>
  <c r="CL49" i="15"/>
  <c r="CN49" i="15"/>
  <c r="CF50" i="15"/>
  <c r="CH50" i="15"/>
  <c r="CJ50" i="15"/>
  <c r="CL50" i="15"/>
  <c r="CN50" i="15"/>
  <c r="CF51" i="15"/>
  <c r="CH51" i="15"/>
  <c r="CJ51" i="15"/>
  <c r="CL51" i="15"/>
  <c r="CN51" i="15"/>
  <c r="CF52" i="15"/>
  <c r="CH52" i="15"/>
  <c r="CJ52" i="15"/>
  <c r="CL52" i="15"/>
  <c r="CN52" i="15"/>
  <c r="CF53" i="15"/>
  <c r="CH53" i="15"/>
  <c r="CJ53" i="15"/>
  <c r="CL53" i="15"/>
  <c r="CN53" i="15"/>
  <c r="CF54" i="15"/>
  <c r="CH54" i="15"/>
  <c r="CJ54" i="15"/>
  <c r="CL54" i="15"/>
  <c r="CN54" i="15"/>
  <c r="CF55" i="15"/>
  <c r="CH55" i="15"/>
  <c r="CJ55" i="15"/>
  <c r="CL55" i="15"/>
  <c r="CN55" i="15"/>
  <c r="CF56" i="15"/>
  <c r="CH56" i="15"/>
  <c r="CJ56" i="15"/>
  <c r="CL56" i="15"/>
  <c r="CN56" i="15"/>
  <c r="CF57" i="15"/>
  <c r="CH57" i="15"/>
  <c r="CJ57" i="15"/>
  <c r="CL57" i="15"/>
  <c r="CN57" i="15"/>
  <c r="CF58" i="15"/>
  <c r="CH58" i="15"/>
  <c r="CJ58" i="15"/>
  <c r="CL58" i="15"/>
  <c r="CN58" i="15"/>
  <c r="CF59" i="15"/>
  <c r="CH59" i="15"/>
  <c r="CJ59" i="15"/>
  <c r="CL59" i="15"/>
  <c r="CN59" i="15"/>
  <c r="CF60" i="15"/>
  <c r="CH60" i="15"/>
  <c r="CJ60" i="15"/>
  <c r="CL60" i="15"/>
  <c r="CN60" i="15"/>
  <c r="CQ61" i="15"/>
  <c r="CO61" i="15"/>
  <c r="CM61" i="15"/>
  <c r="CK61" i="15"/>
  <c r="CF61" i="15"/>
  <c r="CH61" i="15"/>
  <c r="CJ61" i="15"/>
  <c r="CN61" i="15"/>
  <c r="CF62" i="15"/>
  <c r="CJ62" i="15"/>
  <c r="CN62" i="15"/>
  <c r="CF63" i="15"/>
  <c r="CJ63" i="15"/>
  <c r="CN63" i="15"/>
  <c r="CF64" i="15"/>
  <c r="CJ64" i="15"/>
  <c r="CN64" i="15"/>
  <c r="CF65" i="15"/>
  <c r="CJ65" i="15"/>
  <c r="CN65" i="15"/>
  <c r="CF66" i="15"/>
  <c r="CJ66" i="15"/>
  <c r="CN66" i="15"/>
  <c r="CF67" i="15"/>
  <c r="CJ67" i="15"/>
  <c r="CN67" i="15"/>
  <c r="CF68" i="15"/>
  <c r="CJ68" i="15"/>
  <c r="CN68" i="15"/>
  <c r="CF69" i="15"/>
  <c r="CJ69" i="15"/>
  <c r="CN69" i="15"/>
  <c r="CF70" i="15"/>
  <c r="CF71" i="15"/>
  <c r="CH71" i="15"/>
  <c r="CJ71" i="15"/>
  <c r="CL71" i="15"/>
  <c r="CN71" i="15"/>
  <c r="CP71" i="15"/>
  <c r="CF72" i="15"/>
  <c r="CH72" i="15"/>
  <c r="CJ72" i="15"/>
  <c r="CL72" i="15"/>
  <c r="CN72" i="15"/>
  <c r="CP72" i="15"/>
  <c r="CF73" i="15"/>
  <c r="CH73" i="15"/>
  <c r="CJ73" i="15"/>
  <c r="CL73" i="15"/>
  <c r="CN73" i="15"/>
  <c r="CP73" i="15"/>
  <c r="CF74" i="15"/>
  <c r="CH74" i="15"/>
  <c r="CJ74" i="15"/>
  <c r="CL74" i="15"/>
  <c r="CN74" i="15"/>
  <c r="CP74" i="15"/>
  <c r="CF75" i="15"/>
  <c r="CH75" i="15"/>
  <c r="CJ75" i="15"/>
  <c r="CL75" i="15"/>
  <c r="CN75" i="15"/>
  <c r="CP75" i="15"/>
  <c r="CF76" i="15"/>
  <c r="CH76" i="15"/>
  <c r="CJ76" i="15"/>
  <c r="CL76" i="15"/>
  <c r="CN76" i="15"/>
  <c r="CP76" i="15"/>
  <c r="AD35" i="17" a="1"/>
  <c r="AD35" i="17" s="1"/>
  <c r="AD34" i="17" a="1"/>
  <c r="AD34" i="17" s="1"/>
  <c r="AE27" i="17"/>
  <c r="AE47" i="17"/>
  <c r="AE42" i="17"/>
  <c r="AE37" i="17"/>
  <c r="AE33" i="17"/>
  <c r="AE49" i="17"/>
  <c r="AE44" i="17"/>
  <c r="AE39" i="17"/>
  <c r="AE35" i="17" a="1"/>
  <c r="AE35" i="17" s="1"/>
  <c r="AG67" i="20"/>
  <c r="CG71" i="15"/>
  <c r="CI71" i="15"/>
  <c r="CK71" i="15"/>
  <c r="CM71" i="15"/>
  <c r="CO71" i="15"/>
  <c r="CG72" i="15"/>
  <c r="CI72" i="15"/>
  <c r="CK72" i="15"/>
  <c r="CM72" i="15"/>
  <c r="CO72" i="15"/>
  <c r="CG73" i="15"/>
  <c r="CI73" i="15"/>
  <c r="CK73" i="15"/>
  <c r="CM73" i="15"/>
  <c r="CO73" i="15"/>
  <c r="CG74" i="15"/>
  <c r="CI74" i="15"/>
  <c r="CK74" i="15"/>
  <c r="CM74" i="15"/>
  <c r="CO74" i="15"/>
  <c r="CG75" i="15"/>
  <c r="CI75" i="15"/>
  <c r="CK75" i="15"/>
  <c r="CM75" i="15"/>
  <c r="CO75" i="15"/>
  <c r="CG76" i="15"/>
  <c r="CI76" i="15"/>
  <c r="CK76" i="15"/>
  <c r="CM76" i="15"/>
  <c r="CO76" i="15"/>
  <c r="AD31" i="24"/>
  <c r="AD45" i="17"/>
  <c r="AD40" i="17"/>
  <c r="AE46" i="17"/>
  <c r="AE41" i="17"/>
  <c r="AE36" i="17"/>
  <c r="AE48" i="17"/>
  <c r="AE43" i="17"/>
  <c r="AE38" i="17"/>
  <c r="AD32" i="18"/>
  <c r="AD33" i="18"/>
  <c r="AD34" i="18"/>
  <c r="AD35" i="18"/>
  <c r="AD36" i="18"/>
  <c r="AD37" i="18"/>
  <c r="AD38" i="18"/>
  <c r="AE87" i="21"/>
  <c r="AI28" i="25"/>
  <c r="AD30" i="25"/>
  <c r="AG87" i="21"/>
  <c r="AI47" i="25"/>
  <c r="AK28" i="25"/>
  <c r="AK29" i="25"/>
  <c r="AI29" i="25" s="1"/>
  <c r="AF30" i="25"/>
  <c r="AF31" i="25"/>
  <c r="AD31" i="25" s="1"/>
  <c r="AF32" i="25"/>
  <c r="AF33" i="25"/>
  <c r="AF34" i="25"/>
  <c r="AK34" i="25"/>
  <c r="AF42" i="25"/>
  <c r="AD42" i="25" s="1"/>
  <c r="AF43" i="25"/>
  <c r="AD43" i="25" s="1"/>
  <c r="AF44" i="25"/>
  <c r="AD44" i="25" s="1"/>
  <c r="AF45" i="25"/>
  <c r="AD45" i="25" s="1"/>
  <c r="AF46" i="25"/>
  <c r="AD46" i="25" s="1"/>
  <c r="AF47" i="25"/>
  <c r="AD47" i="25" s="1"/>
  <c r="AF27" i="25"/>
  <c r="AD27" i="25" s="1"/>
  <c r="AK27" i="25"/>
  <c r="AI27" i="25" s="1"/>
  <c r="AF28" i="25"/>
  <c r="AD28" i="25" s="1"/>
  <c r="AK30" i="25"/>
  <c r="AI30" i="25" s="1"/>
  <c r="AK31" i="25"/>
  <c r="AI31" i="25" s="1"/>
  <c r="AK32" i="25"/>
  <c r="AK33" i="25"/>
  <c r="AK42" i="25"/>
  <c r="AI42" i="25" s="1"/>
  <c r="AK43" i="25"/>
  <c r="AI43" i="25" s="1"/>
  <c r="AK44" i="25"/>
  <c r="AI44" i="25" s="1"/>
  <c r="AK45" i="25"/>
  <c r="AI45" i="25" s="1"/>
  <c r="AK46" i="25"/>
  <c r="AI46" i="25" s="1"/>
  <c r="AH35" i="24" l="1"/>
  <c r="AD34" i="24"/>
  <c r="AD35" i="24"/>
  <c r="BW78" i="15"/>
  <c r="CA78" i="15"/>
  <c r="AE34" i="17" s="1" a="1"/>
  <c r="AE34" i="17" s="1"/>
  <c r="AE39" i="18"/>
  <c r="AE34" i="18"/>
  <c r="AE33" i="18"/>
  <c r="AE32" i="18"/>
  <c r="AF65" i="20"/>
  <c r="AF39" i="20"/>
  <c r="AE27" i="22" s="1"/>
  <c r="AG30" i="24"/>
  <c r="AH33" i="25"/>
  <c r="AH32" i="25"/>
  <c r="AH31" i="24"/>
  <c r="AE45" i="17"/>
  <c r="AE40" i="17"/>
  <c r="BU78" i="15"/>
  <c r="AE27" i="13" s="1" a="1"/>
  <c r="AE27" i="13" s="1"/>
  <c r="AF27" i="20" s="1"/>
  <c r="BY78" i="15"/>
  <c r="CC78" i="15"/>
  <c r="AF35" i="21"/>
  <c r="AF61" i="21" s="1"/>
  <c r="AE29" i="23" s="1"/>
  <c r="AF29" i="20"/>
  <c r="AF41" i="20" s="1"/>
  <c r="AE29" i="22" s="1"/>
  <c r="AF42" i="19"/>
  <c r="AE35" i="21"/>
  <c r="AE61" i="21" s="1"/>
  <c r="AD29" i="23" s="1"/>
  <c r="AD32" i="23" s="1"/>
  <c r="AD34" i="23" s="1"/>
  <c r="AE29" i="20"/>
  <c r="AE42" i="19"/>
  <c r="AE38" i="20"/>
  <c r="AD26" i="22" s="1"/>
  <c r="AD61" i="20"/>
  <c r="AD62" i="20" s="1"/>
  <c r="AE51" i="20" s="1"/>
  <c r="AF55" i="21"/>
  <c r="AE27" i="23" s="1"/>
  <c r="AE32" i="23" s="1"/>
  <c r="AE34" i="23" s="1"/>
  <c r="AF61" i="20" l="1"/>
  <c r="AF38" i="20"/>
  <c r="AE26" i="22" s="1"/>
  <c r="AE32" i="22" s="1"/>
  <c r="AE34" i="22" s="1"/>
  <c r="AD77" i="21"/>
  <c r="AD57" i="20"/>
  <c r="AD58" i="20" s="1"/>
  <c r="AE67" i="20" s="1"/>
  <c r="AG34" i="25"/>
  <c r="AD34" i="25" s="1"/>
  <c r="AG33" i="25"/>
  <c r="AD33" i="25" s="1"/>
  <c r="AG32" i="25"/>
  <c r="AD32" i="25" s="1"/>
  <c r="AE41" i="20"/>
  <c r="AD29" i="22" s="1"/>
  <c r="AD34" i="22" s="1"/>
  <c r="AF77" i="21"/>
  <c r="AF57" i="20"/>
  <c r="AM33" i="25"/>
  <c r="AM32" i="25"/>
  <c r="AK30" i="24"/>
  <c r="AL34" i="25" l="1"/>
  <c r="AI34" i="25" s="1"/>
  <c r="AL33" i="25"/>
  <c r="AI33" i="25" s="1"/>
  <c r="AL32" i="25"/>
  <c r="AI32" i="25" s="1"/>
  <c r="AH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C24" authorId="0" shapeId="0" xr:uid="{00000000-0006-0000-0E00-000001000000}">
      <text>
        <r>
          <rPr>
            <sz val="9"/>
            <color indexed="81"/>
            <rFont val="Tahoma"/>
            <family val="2"/>
          </rPr>
          <t>Двойной щелчок по пользовательской ячейке для выбора из реестра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H24" authorId="0" shapeId="0" xr:uid="{00000000-0006-0000-1500-000001000000}">
      <text>
        <r>
          <rPr>
            <sz val="9"/>
            <color indexed="81"/>
            <rFont val="Tahoma"/>
            <family val="2"/>
          </rPr>
          <t>указывается КОЛИЧЕСТВО нарушений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H24" authorId="0" shapeId="0" xr:uid="{00000000-0006-0000-1600-000001000000}">
      <text>
        <r>
          <rPr>
            <sz val="9"/>
            <color indexed="81"/>
            <rFont val="Tahoma"/>
            <family val="2"/>
          </rPr>
          <t>указывается КОЛИЧЕСТВО нарушений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<sst xmlns="http://schemas.openxmlformats.org/spreadsheetml/2006/main" count="2528" uniqueCount="1141">
  <si>
    <t xml:space="preserve"> (требуется обновление)</t>
  </si>
  <si>
    <t>Код отчёта: EE.CALC.QUALITY.FACT.2024.EIAS</t>
  </si>
  <si>
    <t>Версия отчёта: 1.0.2</t>
  </si>
  <si>
    <t>Расчет уровня надежности и качества поставляемых товаров и услуг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</si>
  <si>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</si>
  <si>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</si>
  <si>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</si>
  <si>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</si>
  <si>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</si>
  <si>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</si>
  <si>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</si>
  <si>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организация, территория или объект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</si>
  <si>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</si>
  <si>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</si>
  <si>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>REGIONS</t>
  </si>
  <si>
    <t>LINK_DOC_MASK</t>
  </si>
  <si>
    <t>END_LICENSE</t>
  </si>
  <si>
    <t>Код организационной причины аварии</t>
  </si>
  <si>
    <t>Логика</t>
  </si>
  <si>
    <t>Кварталы</t>
  </si>
  <si>
    <t>Года</t>
  </si>
  <si>
    <t>Месяц-текст</t>
  </si>
  <si>
    <t>Месяц-число</t>
  </si>
  <si>
    <t>День-число</t>
  </si>
  <si>
    <t>doc_list</t>
  </si>
  <si>
    <t>TestMode</t>
  </si>
  <si>
    <t>SphereList</t>
  </si>
  <si>
    <t>SphereList_ru</t>
  </si>
  <si>
    <t>TYPE_OBGECT</t>
  </si>
  <si>
    <t>TYPE_TERMINATION</t>
  </si>
  <si>
    <t>VID_END_EE</t>
  </si>
  <si>
    <t>VID_OBJECT</t>
  </si>
  <si>
    <t>bln_binary</t>
  </si>
  <si>
    <t>Белгородская область</t>
  </si>
  <si>
    <t>^https:\/\/regportal-tariff\.ru\/disclo\/get_file\?p_guid=[0-9a-f]{8}-[0-9a-f]{4}-[0-9a-f]{4}-[0-9a-f]{4}-[0-9a-f]{12}$</t>
  </si>
  <si>
    <t>31.03.2025</t>
  </si>
  <si>
    <t>3.4.1</t>
  </si>
  <si>
    <t>да</t>
  </si>
  <si>
    <t>I квартал</t>
  </si>
  <si>
    <t>январь</t>
  </si>
  <si>
    <t>01</t>
  </si>
  <si>
    <t>отсутствует</t>
  </si>
  <si>
    <t>VO</t>
  </si>
  <si>
    <t>Водоотведение</t>
  </si>
  <si>
    <t>КЛ</t>
  </si>
  <si>
    <t>П</t>
  </si>
  <si>
    <t>0</t>
  </si>
  <si>
    <t>Владимирская область</t>
  </si>
  <si>
    <t>3.4.2</t>
  </si>
  <si>
    <t>нет</t>
  </si>
  <si>
    <t>I полугодие</t>
  </si>
  <si>
    <t>февраль</t>
  </si>
  <si>
    <t>02</t>
  </si>
  <si>
    <t>ссылка на документ</t>
  </si>
  <si>
    <t>GAS</t>
  </si>
  <si>
    <t>Газоснабжение</t>
  </si>
  <si>
    <t>ВЛ</t>
  </si>
  <si>
    <t>А</t>
  </si>
  <si>
    <t>1</t>
  </si>
  <si>
    <t>Волгоградская область</t>
  </si>
  <si>
    <t>TemplateState</t>
  </si>
  <si>
    <t>3.4.3</t>
  </si>
  <si>
    <t>9 месяцев</t>
  </si>
  <si>
    <t>март</t>
  </si>
  <si>
    <t>03</t>
  </si>
  <si>
    <t>HOT_VS</t>
  </si>
  <si>
    <t>Горячее водоснабжение</t>
  </si>
  <si>
    <t>ПС</t>
  </si>
  <si>
    <t>В</t>
  </si>
  <si>
    <t>КВЛ</t>
  </si>
  <si>
    <t>Красноярский край</t>
  </si>
  <si>
    <t>FORMED</t>
  </si>
  <si>
    <t>3.4.4</t>
  </si>
  <si>
    <t>год</t>
  </si>
  <si>
    <t>апрель</t>
  </si>
  <si>
    <t>04</t>
  </si>
  <si>
    <t>ТП</t>
  </si>
  <si>
    <t>Омская область</t>
  </si>
  <si>
    <t>3.4.5</t>
  </si>
  <si>
    <t>Выбранный регион</t>
  </si>
  <si>
    <t>май</t>
  </si>
  <si>
    <t>05</t>
  </si>
  <si>
    <t>POSSIBLE_PERIOD_LENGTH</t>
  </si>
  <si>
    <t>РП</t>
  </si>
  <si>
    <t>Пермский край</t>
  </si>
  <si>
    <t>3.4.6</t>
  </si>
  <si>
    <t>июнь</t>
  </si>
  <si>
    <t>06</t>
  </si>
  <si>
    <t>3</t>
  </si>
  <si>
    <t>VS</t>
  </si>
  <si>
    <t>Холодное водоснабжение</t>
  </si>
  <si>
    <t>Республика Крым</t>
  </si>
  <si>
    <t>3.4.7.1</t>
  </si>
  <si>
    <t>июль</t>
  </si>
  <si>
    <t>07</t>
  </si>
  <si>
    <t>4</t>
  </si>
  <si>
    <t>EE</t>
  </si>
  <si>
    <t>Электроэнергетика</t>
  </si>
  <si>
    <t>Ставропольский край</t>
  </si>
  <si>
    <t>3.4.7.2</t>
  </si>
  <si>
    <t>II квартал</t>
  </si>
  <si>
    <t>август</t>
  </si>
  <si>
    <t>08</t>
  </si>
  <si>
    <t>5</t>
  </si>
  <si>
    <t>VS_VO</t>
  </si>
  <si>
    <t>Водоснабжение и водоотведение</t>
  </si>
  <si>
    <t>Ульяновская область</t>
  </si>
  <si>
    <t>3.4.7.3</t>
  </si>
  <si>
    <t>III квартал</t>
  </si>
  <si>
    <t>сентябрь</t>
  </si>
  <si>
    <t>09</t>
  </si>
  <si>
    <t>SOCIAL</t>
  </si>
  <si>
    <t>Социальные услуги</t>
  </si>
  <si>
    <t>3.4.7.4</t>
  </si>
  <si>
    <t>IV квартал</t>
  </si>
  <si>
    <t>октябрь</t>
  </si>
  <si>
    <t>3.4.8.1</t>
  </si>
  <si>
    <t>ноябрь</t>
  </si>
  <si>
    <t>3.4.8.2</t>
  </si>
  <si>
    <t>декабрь</t>
  </si>
  <si>
    <t>3.4.8.3</t>
  </si>
  <si>
    <t>FACT_YEAR</t>
  </si>
  <si>
    <t>PRELOAD</t>
  </si>
  <si>
    <t>3.4.8.4</t>
  </si>
  <si>
    <t>CHECK</t>
  </si>
  <si>
    <t>ORG_ID</t>
  </si>
  <si>
    <t>3.4.8.5</t>
  </si>
  <si>
    <t>F41_Calc</t>
  </si>
  <si>
    <t>3.4.9.1</t>
  </si>
  <si>
    <t>3.4.9.2</t>
  </si>
  <si>
    <t>3.4.9.3</t>
  </si>
  <si>
    <t>3.4.10</t>
  </si>
  <si>
    <t>3.4.11</t>
  </si>
  <si>
    <t>3.4.12.1</t>
  </si>
  <si>
    <t>3.4.12.2</t>
  </si>
  <si>
    <t>3.4.12.3</t>
  </si>
  <si>
    <t>3.4.12.4</t>
  </si>
  <si>
    <t>3.4.12.5</t>
  </si>
  <si>
    <t>3.4.13.1</t>
  </si>
  <si>
    <t>3.4.13.2</t>
  </si>
  <si>
    <t>OVER_PERIOD_3</t>
  </si>
  <si>
    <t>3.4.13.3</t>
  </si>
  <si>
    <t>3.4.13.4</t>
  </si>
  <si>
    <t>3.4.14</t>
  </si>
  <si>
    <t>OVER_PERIOD_4</t>
  </si>
  <si>
    <t>OVER_PERIOD_5</t>
  </si>
  <si>
    <t>add_coms</t>
  </si>
  <si>
    <t>×</t>
  </si>
  <si>
    <t>add_02</t>
  </si>
  <si>
    <t>1.1</t>
  </si>
  <si>
    <t>add_04</t>
  </si>
  <si>
    <t>add_DOC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</si>
  <si>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</si>
  <si>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</si>
  <si>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</si>
  <si>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</si>
  <si>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</si>
  <si>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</si>
  <si>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</si>
  <si>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</si>
  <si>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SPHERE</t>
  </si>
  <si>
    <t>2627</t>
  </si>
  <si>
    <t>26322293</t>
  </si>
  <si>
    <t>АО  "Пятигорские электрические сети"</t>
  </si>
  <si>
    <t>2632021520</t>
  </si>
  <si>
    <t>263201001</t>
  </si>
  <si>
    <t/>
  </si>
  <si>
    <t>26322288</t>
  </si>
  <si>
    <t>АО "Будённовскэнергосбыт"</t>
  </si>
  <si>
    <t>2624801220</t>
  </si>
  <si>
    <t>262401001</t>
  </si>
  <si>
    <t>01-11-2012 00:00:00</t>
  </si>
  <si>
    <t>30892006</t>
  </si>
  <si>
    <t>АО "ВЕТРООГК"</t>
  </si>
  <si>
    <t>5036118291</t>
  </si>
  <si>
    <t>770501001</t>
  </si>
  <si>
    <t>19-10-2016 00:00:00</t>
  </si>
  <si>
    <t>31569174</t>
  </si>
  <si>
    <t>АО "ВетроОГК-2"</t>
  </si>
  <si>
    <t>9701098248</t>
  </si>
  <si>
    <t>01-01-2018 00:00:00</t>
  </si>
  <si>
    <t>26322295</t>
  </si>
  <si>
    <t>АО "ГГЭС"</t>
  </si>
  <si>
    <t>2625032987</t>
  </si>
  <si>
    <t>262501001</t>
  </si>
  <si>
    <t>11-12-2006 00:00:00</t>
  </si>
  <si>
    <t>26322305</t>
  </si>
  <si>
    <t>АО "Горэлектросеть" г. Кисловодск</t>
  </si>
  <si>
    <t>2628002660</t>
  </si>
  <si>
    <t>262801001</t>
  </si>
  <si>
    <t>06-07-2005 00:00:00</t>
  </si>
  <si>
    <t>30479138</t>
  </si>
  <si>
    <t>АО "Ессентукская сетевая компания"</t>
  </si>
  <si>
    <t>2626042240</t>
  </si>
  <si>
    <t>262601001</t>
  </si>
  <si>
    <t>02-08-2010 00:00:00</t>
  </si>
  <si>
    <t>28506410</t>
  </si>
  <si>
    <t>АО "КСК"</t>
  </si>
  <si>
    <t>2628802730</t>
  </si>
  <si>
    <t>31-03-2014 00:00:00</t>
  </si>
  <si>
    <t>26800330</t>
  </si>
  <si>
    <t>АО "Международный аэропорт Ставрополь"</t>
  </si>
  <si>
    <t>2636805727</t>
  </si>
  <si>
    <t>263601001</t>
  </si>
  <si>
    <t>05-02-2013 00:00:00</t>
  </si>
  <si>
    <t>26653521</t>
  </si>
  <si>
    <t>АО "Монокристалл"</t>
  </si>
  <si>
    <t>2635116509</t>
  </si>
  <si>
    <t>263501001</t>
  </si>
  <si>
    <t>21-07-2008 00:00:00</t>
  </si>
  <si>
    <t>26318876</t>
  </si>
  <si>
    <t>АО "Мосэнергосбыт"</t>
  </si>
  <si>
    <t>7736520080</t>
  </si>
  <si>
    <t>997650001</t>
  </si>
  <si>
    <t>27667961</t>
  </si>
  <si>
    <t>АО "НЭСК"</t>
  </si>
  <si>
    <t>2631802151</t>
  </si>
  <si>
    <t>263101001</t>
  </si>
  <si>
    <t>10-01-2012 00:00:00</t>
  </si>
  <si>
    <t>26419409</t>
  </si>
  <si>
    <t>АО "Невинномысский Азот"</t>
  </si>
  <si>
    <t>2631015563</t>
  </si>
  <si>
    <t>31-12-1992 00:00:00</t>
  </si>
  <si>
    <t>31388854</t>
  </si>
  <si>
    <t>АО "Пятигорскэнерго"</t>
  </si>
  <si>
    <t>2632115218</t>
  </si>
  <si>
    <t>30-12-2019 00:00:00</t>
  </si>
  <si>
    <t>26355174</t>
  </si>
  <si>
    <t>АО "Ставропольсахар"</t>
  </si>
  <si>
    <t>2607012219</t>
  </si>
  <si>
    <t>260701001</t>
  </si>
  <si>
    <t>07-07-1999 00:00:00</t>
  </si>
  <si>
    <t>26318908</t>
  </si>
  <si>
    <t>АО "ЭК Эталон"</t>
  </si>
  <si>
    <t>0716002859</t>
  </si>
  <si>
    <t>071601001</t>
  </si>
  <si>
    <t>26322290</t>
  </si>
  <si>
    <t>АО «Горэлектросеть» г. Невинномысск</t>
  </si>
  <si>
    <t>2631054273</t>
  </si>
  <si>
    <t>30-07-2010 00:00:00</t>
  </si>
  <si>
    <t>30477391</t>
  </si>
  <si>
    <t>АО «Горэлектросеть» г. Ставрополь</t>
  </si>
  <si>
    <t>2636042440</t>
  </si>
  <si>
    <t>10-03-2004 00:00:00</t>
  </si>
  <si>
    <t>30855619</t>
  </si>
  <si>
    <t>ГУП СК "Корпорация развития Ставропольского края"</t>
  </si>
  <si>
    <t>2634088104</t>
  </si>
  <si>
    <t>29-12-2009 00:00:00</t>
  </si>
  <si>
    <t>26322287</t>
  </si>
  <si>
    <t>ГУП СК "Ставрополькоммунэлектро"</t>
  </si>
  <si>
    <t>2632047085</t>
  </si>
  <si>
    <t>15-07-1998 00:00:00</t>
  </si>
  <si>
    <t>31389461</t>
  </si>
  <si>
    <t>ГУП СК "Ставэлектросеть"</t>
  </si>
  <si>
    <t>2635244268</t>
  </si>
  <si>
    <t>17-01-2020 00:00:00</t>
  </si>
  <si>
    <t>26606928</t>
  </si>
  <si>
    <t>ЗАО "Люминофор-Сервис"</t>
  </si>
  <si>
    <t>2635050255</t>
  </si>
  <si>
    <t>01-12-1999 00:00:00</t>
  </si>
  <si>
    <t>26360929</t>
  </si>
  <si>
    <t>ЗАО "ЮЭК" филиал в г. Лермонтов Ставропольского края</t>
  </si>
  <si>
    <t>7704262319</t>
  </si>
  <si>
    <t>262902001</t>
  </si>
  <si>
    <t>23-05-2003 00:00:00</t>
  </si>
  <si>
    <t>31558540</t>
  </si>
  <si>
    <t>Запикетная ГПА-ТЭЦ КПП ООО "ЛУКОЙЛ-Ростовэнерго"</t>
  </si>
  <si>
    <t>6164288981</t>
  </si>
  <si>
    <t>262845003</t>
  </si>
  <si>
    <t>01-01-2022 00:00:00</t>
  </si>
  <si>
    <t>31539861</t>
  </si>
  <si>
    <t>Кисловодская ТЭЦ КПП ООО "ЛУКОЙЛ-Ростовэнерго"</t>
  </si>
  <si>
    <t>262845004</t>
  </si>
  <si>
    <t>26571437</t>
  </si>
  <si>
    <t>МУП г. Буденновска "Электросетевая компания"</t>
  </si>
  <si>
    <t>2624033120</t>
  </si>
  <si>
    <t>26800337</t>
  </si>
  <si>
    <t>ОАО "Международный аэропорт Минеральные Воды"</t>
  </si>
  <si>
    <t>2630800970</t>
  </si>
  <si>
    <t>263001001</t>
  </si>
  <si>
    <t>25-01-2012 00:00:00</t>
  </si>
  <si>
    <t>26499763</t>
  </si>
  <si>
    <t>ОАО "Российские Железные Дороги"</t>
  </si>
  <si>
    <t>7708503727</t>
  </si>
  <si>
    <t>616745011</t>
  </si>
  <si>
    <t>31694118</t>
  </si>
  <si>
    <t>ООО "Агроэнерго"</t>
  </si>
  <si>
    <t>2618025523</t>
  </si>
  <si>
    <t>261801001</t>
  </si>
  <si>
    <t>27-03-2023 00:00:00</t>
  </si>
  <si>
    <t>26318820</t>
  </si>
  <si>
    <t>ООО "АтомЭнергоСбыт Бизнес"</t>
  </si>
  <si>
    <t>4633017746</t>
  </si>
  <si>
    <t>772501001</t>
  </si>
  <si>
    <t>26507699</t>
  </si>
  <si>
    <t>ООО "ЕвроХим-Энерго"</t>
  </si>
  <si>
    <t>7116146467</t>
  </si>
  <si>
    <t>711601001</t>
  </si>
  <si>
    <t>26559006</t>
  </si>
  <si>
    <t>ООО "КЭС"</t>
  </si>
  <si>
    <t>2308138781</t>
  </si>
  <si>
    <t>230801001</t>
  </si>
  <si>
    <t>26322289</t>
  </si>
  <si>
    <t>ООО "КЭУК"</t>
  </si>
  <si>
    <t>7714662394</t>
  </si>
  <si>
    <t>262701001</t>
  </si>
  <si>
    <t>27567409</t>
  </si>
  <si>
    <t>ООО "ЛУКОЙЛ-Ставропольэнерго"</t>
  </si>
  <si>
    <t>2624033219</t>
  </si>
  <si>
    <t>01-08-2011 00:00:00</t>
  </si>
  <si>
    <t>31073125</t>
  </si>
  <si>
    <t>ООО "МГЭС Ставрополья и КЧР"</t>
  </si>
  <si>
    <t>0917014406</t>
  </si>
  <si>
    <t>773301001</t>
  </si>
  <si>
    <t>24-06-2009 00:00:00</t>
  </si>
  <si>
    <t>28147378</t>
  </si>
  <si>
    <t>ООО "МагнитЭнерго"</t>
  </si>
  <si>
    <t>7715902899</t>
  </si>
  <si>
    <t>231101001</t>
  </si>
  <si>
    <t>26318850</t>
  </si>
  <si>
    <t>ООО "РГМЭК"</t>
  </si>
  <si>
    <t>6229054695</t>
  </si>
  <si>
    <t>623401001</t>
  </si>
  <si>
    <t>26416221</t>
  </si>
  <si>
    <t>ООО "РН-Энерго"</t>
  </si>
  <si>
    <t>7706525041</t>
  </si>
  <si>
    <t>02-05-2012 00:00:00</t>
  </si>
  <si>
    <t>26891086</t>
  </si>
  <si>
    <t>ООО "Ритм-Б"</t>
  </si>
  <si>
    <t>2636032690</t>
  </si>
  <si>
    <t>22-04-2011 00:00:00</t>
  </si>
  <si>
    <t>26525270</t>
  </si>
  <si>
    <t>ООО "Русэнергоресурс"</t>
  </si>
  <si>
    <t>7706288496</t>
  </si>
  <si>
    <t>997450001</t>
  </si>
  <si>
    <t>26502786</t>
  </si>
  <si>
    <t>ООО "Русэнергосбыт"</t>
  </si>
  <si>
    <t>7706284124</t>
  </si>
  <si>
    <t>770401001</t>
  </si>
  <si>
    <t>26322296</t>
  </si>
  <si>
    <t>ООО "ССК"</t>
  </si>
  <si>
    <t>2635810883</t>
  </si>
  <si>
    <t>31365348</t>
  </si>
  <si>
    <t>ООО "Ставропольский бройлер" филиал "Рыздвяненский"</t>
  </si>
  <si>
    <t>2623030222</t>
  </si>
  <si>
    <t>260743001</t>
  </si>
  <si>
    <t>04-04-2019 00:00:00</t>
  </si>
  <si>
    <t>31297425</t>
  </si>
  <si>
    <t>ООО "Стар Проджектс"</t>
  </si>
  <si>
    <t>7703464168</t>
  </si>
  <si>
    <t>770301001</t>
  </si>
  <si>
    <t>14-08-2018 00:00:00</t>
  </si>
  <si>
    <t>26497668</t>
  </si>
  <si>
    <t>ООО "Транснефтьэнерго"</t>
  </si>
  <si>
    <t>7703552167</t>
  </si>
  <si>
    <t>772301001</t>
  </si>
  <si>
    <t>01-07-2009 00:00:00</t>
  </si>
  <si>
    <t>31698000</t>
  </si>
  <si>
    <t>ООО "Энергомин"</t>
  </si>
  <si>
    <t>2624032857</t>
  </si>
  <si>
    <t>06-03-2010 00:00:00</t>
  </si>
  <si>
    <t>26640305</t>
  </si>
  <si>
    <t>Общество с ограниченной ответственностью "Алмаз"</t>
  </si>
  <si>
    <t>2624800033</t>
  </si>
  <si>
    <t>31289532</t>
  </si>
  <si>
    <t>Общество с ограниченной ответственностью «ЛУКОЙЛ-ЭНЕРГОСЕТИ»</t>
  </si>
  <si>
    <t>5260230051</t>
  </si>
  <si>
    <t>775050001</t>
  </si>
  <si>
    <t>26322301</t>
  </si>
  <si>
    <t>Общество с ограниченной ответственностью производственное предприятие "Стеклотара"</t>
  </si>
  <si>
    <t>2636032234</t>
  </si>
  <si>
    <t>27051140</t>
  </si>
  <si>
    <t>ПАО "ОГК-2"</t>
  </si>
  <si>
    <t>2607018122</t>
  </si>
  <si>
    <t>781701001</t>
  </si>
  <si>
    <t>09-03-2005 00:00:00</t>
  </si>
  <si>
    <t>31518303</t>
  </si>
  <si>
    <t>ПАО "Россети Северный Кавказ"</t>
  </si>
  <si>
    <t>2632082033</t>
  </si>
  <si>
    <t>26318929</t>
  </si>
  <si>
    <t>ПАО "Ставропольэнергосбыт"</t>
  </si>
  <si>
    <t>2626033550</t>
  </si>
  <si>
    <t>785150001</t>
  </si>
  <si>
    <t>01-04-2005 00:00:00</t>
  </si>
  <si>
    <t>27954259</t>
  </si>
  <si>
    <t>ПАО "ФСК - Россети"</t>
  </si>
  <si>
    <t>4716016979</t>
  </si>
  <si>
    <t>30906887</t>
  </si>
  <si>
    <t>Свердловский филиал ООО "ЕЭС-Гарант"</t>
  </si>
  <si>
    <t>5024173259</t>
  </si>
  <si>
    <t>667043001</t>
  </si>
  <si>
    <t>26322297</t>
  </si>
  <si>
    <t>Северо-Кавказский филиал ООО "Газпром энерго"</t>
  </si>
  <si>
    <t>7736186950</t>
  </si>
  <si>
    <t>263602001</t>
  </si>
  <si>
    <t>27-07-1998 00:00:00</t>
  </si>
  <si>
    <t>30923515</t>
  </si>
  <si>
    <t>ФГБУ "Центральное жилищно-коммунальное управление" Министерства обороны РФ</t>
  </si>
  <si>
    <t>7729314745</t>
  </si>
  <si>
    <t>616543001</t>
  </si>
  <si>
    <t>14-11-2002 00:00:00</t>
  </si>
  <si>
    <t>27188394</t>
  </si>
  <si>
    <t>Филиал  "Северо-Кавказский"  АО "Оборонэнерго"</t>
  </si>
  <si>
    <t>7704726225</t>
  </si>
  <si>
    <t>263243001</t>
  </si>
  <si>
    <t>30-04-2009 00:00:00</t>
  </si>
  <si>
    <t>26416944</t>
  </si>
  <si>
    <t>Филиал "Невинномысская ГРЭС" ПАО "ЭЛ5-Энерго"</t>
  </si>
  <si>
    <t>6671156423</t>
  </si>
  <si>
    <t>263102001</t>
  </si>
  <si>
    <t>27-10-2004 00:00:00</t>
  </si>
  <si>
    <t>26416974</t>
  </si>
  <si>
    <t>Филиал ПАО "ОГК-2"-Ставропольская ГРЭС</t>
  </si>
  <si>
    <t>260702001</t>
  </si>
  <si>
    <t>26322306</t>
  </si>
  <si>
    <t>Филиал ПАО "Россети Северный Кавказ" - "Ставропольэнерго"</t>
  </si>
  <si>
    <t>29-02-2008 00:00:00</t>
  </si>
  <si>
    <t>26796759</t>
  </si>
  <si>
    <t>Филиал ПАО "РусГидро" - "Каскад Кубанских ГЭС"</t>
  </si>
  <si>
    <t>2460066195</t>
  </si>
  <si>
    <t>26-12-2004 00:00:00</t>
  </si>
  <si>
    <t>Правообладатель шаблона - ООО «Платформа» (ОГРН 1147746709153). _x000D_
Данный шаблон предоставлен в использование исключительно для сбора информации с регулируемых организаций на территории субъекта РФ: Омская область, Белгородская область.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Федерации.</t>
  </si>
  <si>
    <t>У Вас нет прав на заполнение данной формы. Обратитесь в службу поддержки https://tariff.expert/</t>
  </si>
  <si>
    <t>31.12.2023</t>
  </si>
  <si>
    <t>Расчет уровня надежности и качества поставляемых товаров и оказываемых услуг</t>
  </si>
  <si>
    <t>Субъект РФ</t>
  </si>
  <si>
    <t>Отчет предоставляется в рамках первого долгосрочного периода регулирования</t>
  </si>
  <si>
    <t>Первый год долгосрочного периода регулирования</t>
  </si>
  <si>
    <t>Тип данных</t>
  </si>
  <si>
    <t>Факт</t>
  </si>
  <si>
    <t>Отчетный фактический период</t>
  </si>
  <si>
    <t>Версия</t>
  </si>
  <si>
    <t>Версия организации</t>
  </si>
  <si>
    <t>Признак филиала</t>
  </si>
  <si>
    <t>Организация</t>
  </si>
  <si>
    <t>Наименование филиала</t>
  </si>
  <si>
    <t>ИНН</t>
  </si>
  <si>
    <t>КПП</t>
  </si>
  <si>
    <t>Адрес организации</t>
  </si>
  <si>
    <t>Юридический адрес</t>
  </si>
  <si>
    <t>357700, Ставропольский край, г. Кисловодск, ул. Одесская,3</t>
  </si>
  <si>
    <t>Почтовый адрес</t>
  </si>
  <si>
    <t>Руководитель</t>
  </si>
  <si>
    <t>Фамилия, имя, отчество</t>
  </si>
  <si>
    <t>Мурадов Сергей Юрьевич</t>
  </si>
  <si>
    <t>Должность</t>
  </si>
  <si>
    <t>Генеральный директор</t>
  </si>
  <si>
    <t>(код) номер телефона</t>
  </si>
  <si>
    <t>8 (87937) 2-02-85</t>
  </si>
  <si>
    <t>Главный бухгалтер</t>
  </si>
  <si>
    <t>Краснопольский Сергей Васильевич</t>
  </si>
  <si>
    <t>8 (87937) 6-23-91</t>
  </si>
  <si>
    <t>Должностное лицо, ответственное за составление формы</t>
  </si>
  <si>
    <t>Батаева Ольга Евгеньевна</t>
  </si>
  <si>
    <t>экономист ПЭО</t>
  </si>
  <si>
    <t>e-mail</t>
  </si>
  <si>
    <t>peo.ksk@yandex.ru</t>
  </si>
  <si>
    <t>end</t>
  </si>
  <si>
    <t>wsNames</t>
  </si>
  <si>
    <t>wsCheck</t>
  </si>
  <si>
    <t xml:space="preserve">Оглавление шаблона (список листов) </t>
  </si>
  <si>
    <t>Инструкция</t>
  </si>
  <si>
    <t>Титульный</t>
  </si>
  <si>
    <t>checkTitle</t>
  </si>
  <si>
    <t>ф.2.1 ИндИнф (Ин)</t>
  </si>
  <si>
    <t>ф.2.2 ИндИспол (Ис)</t>
  </si>
  <si>
    <t>ф.2.3 ИндРезульт (Рс)</t>
  </si>
  <si>
    <t>ф.1.3 Ср.продолж.</t>
  </si>
  <si>
    <t>ф.1.3.1 Ср.продолж.</t>
  </si>
  <si>
    <t>ф.8.1 Журнал учета</t>
  </si>
  <si>
    <t>checkF81</t>
  </si>
  <si>
    <t>ф.8.1.1 Ведомость_свод</t>
  </si>
  <si>
    <t>ф.8.3 Индикатив</t>
  </si>
  <si>
    <t>ф.8.3.1 Индикатив</t>
  </si>
  <si>
    <t>Ф.3.1Ф3.2 ПоказТехприс (Птпр)</t>
  </si>
  <si>
    <t>Форма 4.1 расч.</t>
  </si>
  <si>
    <t>Форма 4.1 расч. с 2024 г</t>
  </si>
  <si>
    <t>Форма 4.2 расч.</t>
  </si>
  <si>
    <t>Форма 4.2 расч. с 2024 г</t>
  </si>
  <si>
    <t>ф.1.9 Характеристика</t>
  </si>
  <si>
    <t>Ф9.1Ф9.2</t>
  </si>
  <si>
    <t>Сопроводительные материалы</t>
  </si>
  <si>
    <t>dels_1</t>
  </si>
  <si>
    <t>nums_1</t>
  </si>
  <si>
    <t>adds_1</t>
  </si>
  <si>
    <t>links</t>
  </si>
  <si>
    <t>block_1</t>
  </si>
  <si>
    <t>№ п/п</t>
  </si>
  <si>
    <t xml:space="preserve">Наименование </t>
  </si>
  <si>
    <t>Ссылка на документ</t>
  </si>
  <si>
    <t>Количество листов (комментарий)</t>
  </si>
  <si>
    <t>Копии оперативных журналов</t>
  </si>
  <si>
    <t>2</t>
  </si>
  <si>
    <t>Реестр потребителей услуг к электрической сети электросетевой организации с указанием количества точек присоединения потребителей услуг, реквизитов договоров</t>
  </si>
  <si>
    <t>Однолинейные схемы электрических сетей с указанием границ балансовой принадлежности и точек поставки электрической энергии</t>
  </si>
  <si>
    <t>Договоры оказания услуг по передаче электрической энергии.</t>
  </si>
  <si>
    <t>План графиков ремонтных работ, срочные аварийные работы подтвердить уведомлениями потребителей (для подтверждения перерывов электроснабжения потребителей)</t>
  </si>
  <si>
    <t>Акты расследования причин аварии в соответствии с формой приказа Министерства энергетики Российской Федерации от 02.03.2010 № 90</t>
  </si>
  <si>
    <t>Пояснительная записка</t>
  </si>
  <si>
    <t>Добавить документ</t>
  </si>
  <si>
    <r>
      <rPr>
        <sz val="9"/>
        <rFont val="Tahoma"/>
        <family val="2"/>
        <charset val="204"/>
      </rPr>
      <t>Форма 2.1. Расчет значения индикатора информативности</t>
    </r>
  </si>
  <si>
    <t>№_x000D_
п/п</t>
  </si>
  <si>
    <t>Наименование параметра (критерия), характеризующего индикатор</t>
  </si>
  <si>
    <t>Значение</t>
  </si>
  <si>
    <t>Ф/П*100_x000D_
%</t>
  </si>
  <si>
    <t>Зависимость</t>
  </si>
  <si>
    <t>Оценочный_x000D_
балл</t>
  </si>
  <si>
    <t>факт_x000D_
(Ф)</t>
  </si>
  <si>
    <t>план_x000D_
(П)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</si>
  <si>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</si>
  <si>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 по критериям: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</si>
  <si>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подразделений, %</t>
  </si>
  <si>
    <t>прямая</t>
  </si>
  <si>
    <t>1.2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</si>
  <si>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</si>
  <si>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</si>
  <si>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1.2.1</t>
  </si>
  <si>
    <t>а) регламенты оказания услуг и рассмотрения обращений заявителей и потребителей услуг, шт.</t>
  </si>
  <si>
    <t>1.2.2</t>
  </si>
  <si>
    <t>б) наличие положения о деятельности структурного подразделения по работе _x000D_
с заявителями и потребителями услуг_x000D_
(наличие - 1, отсутствие - 0)</t>
  </si>
  <si>
    <t>1.2.3</t>
  </si>
  <si>
    <t>в) должностные инструкции сотрудников, обслуживающих заявителей и потребителей услуг, шт.</t>
  </si>
  <si>
    <t>1.2.4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</si>
  <si>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</si>
  <si>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организации,</t>
  </si>
  <si>
    <t>2.1</t>
  </si>
  <si>
    <t>Наличие единого телефонного номера для приема обращений потребителей услуг (наличие - 1, отсутствие - 0)</t>
  </si>
  <si>
    <t>2.2</t>
  </si>
  <si>
    <t>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</si>
  <si>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</si>
  <si>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</si>
  <si>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</si>
  <si>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</si>
  <si>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</si>
  <si>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</si>
  <si>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</si>
  <si>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обращений, %</t>
  </si>
  <si>
    <t>6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</si>
  <si>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</si>
  <si>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</si>
  <si>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обращений, %</t>
  </si>
  <si>
    <t>6.2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</si>
  <si>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обращений, %</t>
  </si>
  <si>
    <t>7</t>
  </si>
  <si>
    <t>Итого по индикатору информативности (Ин)</t>
  </si>
  <si>
    <t>ФИО</t>
  </si>
  <si>
    <t>Подпись</t>
  </si>
  <si>
    <r>
      <rPr>
        <sz val="9"/>
        <rFont val="Tahoma"/>
        <family val="2"/>
        <charset val="204"/>
      </rPr>
      <t>Форма 2.2. Расчет значения индикатора исполнительности</t>
    </r>
  </si>
  <si>
    <t>Зависи-мость</t>
  </si>
  <si>
    <t>Оценоч-ный_x000D_
балл</t>
  </si>
  <si>
    <t>фактическое_x000D_
(Ф)</t>
  </si>
  <si>
    <t>плановое_x000D_
(П)</t>
  </si>
  <si>
    <t>Соблюдение сроков по процедурам взаимодействия с потребителями услуг (заявителями) - всего,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</si>
  <si>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</si>
  <si>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</si>
  <si>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</si>
  <si>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</si>
  <si>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</si>
  <si>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лиц, %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</si>
  <si>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</si>
  <si>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обращений, %</t>
  </si>
  <si>
    <t>Наличие взаимодействия с потребителями услуг при выводе оборудования в ремонт и (или) из эксплуатации</t>
  </si>
  <si>
    <t>3.1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</si>
  <si>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</si>
  <si>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</si>
  <si>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лиц, %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</si>
  <si>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</si>
  <si>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4.1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</si>
  <si>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обращений, %</t>
  </si>
  <si>
    <t>Итого по индикатору исполнительности (Ис)</t>
  </si>
  <si>
    <r>
      <rPr>
        <sz val="9"/>
        <rFont val="Tahoma"/>
        <family val="2"/>
        <charset val="204"/>
      </rPr>
      <t>Форма 2.3. Расчет значения индикатора результативности обратной связи</t>
    </r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</si>
  <si>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</si>
  <si>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Степень удовлетворения обращений потребителей услуг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</si>
  <si>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</si>
  <si>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</si>
  <si>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обращений, %</t>
  </si>
  <si>
    <t>2.4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</si>
  <si>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обращений, %</t>
  </si>
  <si>
    <t>2.5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</si>
  <si>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обращений, %</t>
  </si>
  <si>
    <t>2.6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</si>
  <si>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</si>
  <si>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Оперативность реагирования на обращения потребителей услуг - всего,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</si>
  <si>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</si>
  <si>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</si>
  <si>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3.2.1</t>
  </si>
  <si>
    <t>а) письменных опросов, шт. на 1000 потребителей услуг</t>
  </si>
  <si>
    <t>3.2.2</t>
  </si>
  <si>
    <t>б) электронной связи через сеть Интернет, шт. на 1000 потребителей услуг</t>
  </si>
  <si>
    <t>3.2.3</t>
  </si>
  <si>
    <t>в)* системы автоинформирования, 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</si>
  <si>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</si>
  <si>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</si>
  <si>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</si>
  <si>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</si>
  <si>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</si>
  <si>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</si>
  <si>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Итого по индикатору результативности обратной связи (Рс)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</si>
  <si>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</si>
  <si>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организации, долгосрочный период регулирования которой начался с 2018 года по 2023 год включительно</t>
  </si>
  <si>
    <t>Наименование показателя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</si>
  <si>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</si>
  <si>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</si>
  <si>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</si>
  <si>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>Форма 1.3.1.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организации, долгосрочный период регулирования которой начинается с 2024 года</t>
  </si>
  <si>
    <t>Число точек поставки сетевой организации за расчетный период регулирования, в том числе по уровням напряжения, шт.:</t>
  </si>
  <si>
    <t>ВН (110 кВ и выше), шт.</t>
  </si>
  <si>
    <t>СН1 (27,5 - 60 кВ), шт.</t>
  </si>
  <si>
    <t>СН2 (1 - 20 кВ), шт.</t>
  </si>
  <si>
    <t>1.4</t>
  </si>
  <si>
    <t>НН (до 1 кВ), шт.</t>
  </si>
  <si>
    <t>Показатель средней продолжительности прекращений передачи электрической энергии на точку поставки по уровню напряжения ВН (П saidiВН), ч</t>
  </si>
  <si>
    <t>Показатель средней продолжительности прекращений передачи электрической энергии на точку поставки по уровню напряжения CH1 (П saidiCH1), ч</t>
  </si>
  <si>
    <t>Показатель средней продолжительности прекращений передачи электрической энергии на точку поставки по уровню напряжения СН2 (П saidiCH2), ч</t>
  </si>
  <si>
    <t>Показатель средней продолжительности прекращений передачи электрической энергии на точку поставки по уровню напряжения НН (П saidiНН), ч</t>
  </si>
  <si>
    <t>Показатель средней частоты прекращений передачи электрической энергии на точку поставки по уровню напряжения ВН (П saifiВН), шт.</t>
  </si>
  <si>
    <t>Показатель средней частоты прекращений передачи электрической энергии на точку поставки по уровню напряжения CH1 (П saifiCH1), шт.</t>
  </si>
  <si>
    <t>8</t>
  </si>
  <si>
    <t>Показатель средней частоты прекращений передачи электрической энергии на точку поставки по уровню напряжения СН2 (П saifiCH2), шт.</t>
  </si>
  <si>
    <t>9</t>
  </si>
  <si>
    <t>Показатель средней частоты прекращений передачи электрической энергии на точку поставки по уровню напряжения НН (П saifiHH), шт.</t>
  </si>
  <si>
    <t>startTermination</t>
  </si>
  <si>
    <t>endTermination</t>
  </si>
  <si>
    <t>typeTermination</t>
  </si>
  <si>
    <t>timeTermination</t>
  </si>
  <si>
    <t>listObjects</t>
  </si>
  <si>
    <t>listUsersFull</t>
  </si>
  <si>
    <t>listUsersPart</t>
  </si>
  <si>
    <t>numberDateAct</t>
  </si>
  <si>
    <t>codeOrgReason</t>
  </si>
  <si>
    <t>codeTechReason</t>
  </si>
  <si>
    <t>countReliab</t>
  </si>
  <si>
    <t>orgClick</t>
  </si>
  <si>
    <t>countReliab_VR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</si>
  <si>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</si>
  <si>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</si>
  <si>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</si>
  <si>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_x000D_
передачи электрической энергии и их расследовании</t>
  </si>
  <si>
    <t>Учет в показателях надежности, в т.ч. индикативных показателях надежности _x000D_
(0 - нет, 1 - да)</t>
  </si>
  <si>
    <t>Смежная сетевая организация, являющаяся причиной прекращения передачи электрической энергии</t>
  </si>
  <si>
    <t>Ссылки на акт расследования</t>
  </si>
  <si>
    <t>Версия регулятора</t>
  </si>
  <si>
    <t>Наименование структурной единицы сетевой организации</t>
  </si>
  <si>
    <r>
      <t xml:space="preserve">Вид объекта: </t>
    </r>
    <r>
      <rPr>
        <sz val="7"/>
        <rFont val="Tahoma"/>
        <family val="2"/>
        <charset val="204"/>
      </rPr>
      <t>Кабельная линия (далее - КЛ),Воздушная линия (далее - ВЛ), Кабельно-воздушная линия (далее - КВЛ), Подстанция (далее - ПС), Трансформаторная подстанция (далее - ТП), Распредели тельный пункт (далее - РП)</t>
    </r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</si>
  <si>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</si>
  <si>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оборудования, кВ</t>
  </si>
  <si>
    <t>Время и дата начала прекращения передачи электрической энергии (часы, минуты, год, месяц, день)</t>
  </si>
  <si>
    <t>Время и дата восстановления режима потребления электрической энергии потребителей услуг (часы, минуты, год, месяц, день)</t>
  </si>
  <si>
    <t>Вид прекращения передачи электроэнергии  (П, А, В)</t>
  </si>
  <si>
    <t>Продолжительность прекращения передачи электрической энергии, ч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</si>
  <si>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</si>
  <si>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</si>
  <si>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 й и 2- 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</si>
  <si>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_x000D_
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</si>
  <si>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</si>
  <si>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</si>
  <si>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технической причины повреждения оборудования</t>
  </si>
  <si>
    <t>Комментарий</t>
  </si>
  <si>
    <t>11</t>
  </si>
  <si>
    <t>12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</si>
  <si>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</si>
  <si>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</si>
  <si>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энергопринимающих устройств потребителей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</si>
  <si>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</si>
  <si>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</si>
  <si>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</si>
  <si>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</si>
  <si>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</si>
  <si>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 1 (27, 5 - 60 кВ)</t>
  </si>
  <si>
    <t>СН 2 (1 - 20 кВ)</t>
  </si>
  <si>
    <t>НН (до 1 кВ)</t>
  </si>
  <si>
    <t>28</t>
  </si>
  <si>
    <t>et_1</t>
  </si>
  <si>
    <t>1.0</t>
  </si>
  <si>
    <t>АО «Кисловодская сетевая компания"</t>
  </si>
  <si>
    <t>КЛ10кВ ТП-278-РП-4</t>
  </si>
  <si>
    <t>10 (10.5)</t>
  </si>
  <si>
    <t>14,45 2023.01.28</t>
  </si>
  <si>
    <t xml:space="preserve">16,10 2023.01.28 </t>
  </si>
  <si>
    <t>АО "Городские электрические сети"</t>
  </si>
  <si>
    <t>№1, 2023.01.28</t>
  </si>
  <si>
    <t>4.4</t>
  </si>
  <si>
    <t>КЛ10кВ ТП-275-ТП-144</t>
  </si>
  <si>
    <t>№2, 2023.01.28</t>
  </si>
  <si>
    <t>4.3</t>
  </si>
  <si>
    <t>КЛ10кВ ТП-78-ТП-141</t>
  </si>
  <si>
    <t>10,20 2023.02.07</t>
  </si>
  <si>
    <t>12,00 2023.02.07</t>
  </si>
  <si>
    <t>№1, 2023.02.07</t>
  </si>
  <si>
    <t>КЛ10кВ ТП-291-ТП-15</t>
  </si>
  <si>
    <t>11,40 2023.02.07</t>
  </si>
  <si>
    <t>№2,  2023.02.07</t>
  </si>
  <si>
    <t>1.5</t>
  </si>
  <si>
    <t>КЛ10кВ РП-5- Парковая Ф-114</t>
  </si>
  <si>
    <t>11,20 2023.02.17</t>
  </si>
  <si>
    <t>11,45 2023.02.17</t>
  </si>
  <si>
    <t>№3, 2023.02.17</t>
  </si>
  <si>
    <t>1.6</t>
  </si>
  <si>
    <t>КЛ10кВ ТП-145-ТП-220</t>
  </si>
  <si>
    <t>15,05 2023.02.28</t>
  </si>
  <si>
    <t>15,40 2023.02.28</t>
  </si>
  <si>
    <t>№4,  2023.02.28</t>
  </si>
  <si>
    <t>1.7</t>
  </si>
  <si>
    <t>КЛ10кВ РП-7- Парковая Ф-117</t>
  </si>
  <si>
    <t>10,20 2023.03.27</t>
  </si>
  <si>
    <t>11,00 2023.03.27</t>
  </si>
  <si>
    <t>№2,  2023.03.27</t>
  </si>
  <si>
    <t>1.8</t>
  </si>
  <si>
    <t>КЛ10кВ ПП-2-ТП-159</t>
  </si>
  <si>
    <t>10,40 2023.03.27</t>
  </si>
  <si>
    <t>№3, 2023.03.27</t>
  </si>
  <si>
    <t>1.9</t>
  </si>
  <si>
    <t>КЛ10кВ ТП-49-ТП-50</t>
  </si>
  <si>
    <t>08,05 2023.03.20</t>
  </si>
  <si>
    <t>09,30 2023.03.20</t>
  </si>
  <si>
    <t>№1, 2023.03.20</t>
  </si>
  <si>
    <t>1.10</t>
  </si>
  <si>
    <t>КЛ10кВ РП-6- Парковая Ф-118</t>
  </si>
  <si>
    <t>05,50 2023.03.23</t>
  </si>
  <si>
    <t>06,30 2023.03.23</t>
  </si>
  <si>
    <t>№2, 2023.03.23</t>
  </si>
  <si>
    <t>1.11</t>
  </si>
  <si>
    <t>КЛ10кВ ТП-7-ТП-56</t>
  </si>
  <si>
    <t>22,00 2023.04.10</t>
  </si>
  <si>
    <t>22,40 2023.04.10</t>
  </si>
  <si>
    <t>№3, 2023.04.11</t>
  </si>
  <si>
    <t>1.12</t>
  </si>
  <si>
    <t>КЛ10кВ ТП-7-ТП-316</t>
  </si>
  <si>
    <t>№4, 2023.04.11</t>
  </si>
  <si>
    <t>1.13</t>
  </si>
  <si>
    <t>КЛ10кВ ТП-35-ТП-190</t>
  </si>
  <si>
    <t>13,00 2023.05.10</t>
  </si>
  <si>
    <t>16,00 2023.05.10</t>
  </si>
  <si>
    <t>№2, 2023.05.10</t>
  </si>
  <si>
    <t>1.14</t>
  </si>
  <si>
    <t>КЛ10кВ ТП-85-ТП-190</t>
  </si>
  <si>
    <t>№3, 2023.05.10</t>
  </si>
  <si>
    <t>4.12</t>
  </si>
  <si>
    <t>1.15</t>
  </si>
  <si>
    <t>КЛ10кВ ТП-237- опора №3</t>
  </si>
  <si>
    <t>15,30 2023.05.08</t>
  </si>
  <si>
    <t>18,30 2023.05.08</t>
  </si>
  <si>
    <t>№1, 2023.05.10</t>
  </si>
  <si>
    <t>1.16</t>
  </si>
  <si>
    <t>КЛ10кВ ТП-260-РП-8</t>
  </si>
  <si>
    <t>03,10 2023.06.19</t>
  </si>
  <si>
    <t>05,00 2023.06.19</t>
  </si>
  <si>
    <t>№2, 2023.06.19</t>
  </si>
  <si>
    <t>4.7</t>
  </si>
  <si>
    <t>1.17</t>
  </si>
  <si>
    <t>КЛ10кВ ТП-4-ТП-72</t>
  </si>
  <si>
    <t>03,15 2023.06.19</t>
  </si>
  <si>
    <t>04,50 2023.06.19</t>
  </si>
  <si>
    <t>№3, 2023.06.19</t>
  </si>
  <si>
    <t>1.18</t>
  </si>
  <si>
    <t>КЛ10кВ ТП-122-ТП-140</t>
  </si>
  <si>
    <t>03,30 2023.06.19</t>
  </si>
  <si>
    <t>04,55 2023.06.19</t>
  </si>
  <si>
    <t>№4, 2023.06.19</t>
  </si>
  <si>
    <t>1.19</t>
  </si>
  <si>
    <t>КЛ10кВ РП-8-ТП-295</t>
  </si>
  <si>
    <t>19,45 2023.06.28</t>
  </si>
  <si>
    <t>20,50 2023.06.28</t>
  </si>
  <si>
    <t>№5, 2023.11.29</t>
  </si>
  <si>
    <t>1.20</t>
  </si>
  <si>
    <t>КЛ10кВ ТП-163-ТП-333</t>
  </si>
  <si>
    <t>11,35 2023.06.13</t>
  </si>
  <si>
    <t>12,50 2023.06.13</t>
  </si>
  <si>
    <t>№1, 2023.06.13</t>
  </si>
  <si>
    <t>1.21</t>
  </si>
  <si>
    <t>КЛ10кВ РП-10-п/ст "Зеленогорская" ф-118</t>
  </si>
  <si>
    <t>10,35 2023.07.07</t>
  </si>
  <si>
    <t>11,10 2023.07.07</t>
  </si>
  <si>
    <t>№1, 2023.07.07</t>
  </si>
  <si>
    <t>1.22</t>
  </si>
  <si>
    <t>КЛ10кВ ТП-228-ТП-103</t>
  </si>
  <si>
    <t>12,55 2023.07.17</t>
  </si>
  <si>
    <t>13,35 2023.07.17</t>
  </si>
  <si>
    <t>№5, 2023.07.17</t>
  </si>
  <si>
    <t>1.23</t>
  </si>
  <si>
    <t>КЛ10кВ РП-3-п/ст "Зеленогорская" Ф-111</t>
  </si>
  <si>
    <t>02,55 2023.07.08</t>
  </si>
  <si>
    <t>04,25 2023.07.08</t>
  </si>
  <si>
    <t>№2, 2023.07.08</t>
  </si>
  <si>
    <t>1.24</t>
  </si>
  <si>
    <t>КЛ10кВ РП-3- п/ст"Зеленогорская" Ф-112</t>
  </si>
  <si>
    <t>04,40 2023.07.08</t>
  </si>
  <si>
    <t>№3, 2023.07.08</t>
  </si>
  <si>
    <t>1.25</t>
  </si>
  <si>
    <t>КЛ10кВ РП-2-п/ст "Запикетная" Ф-139</t>
  </si>
  <si>
    <t>04,00 2023.07.08</t>
  </si>
  <si>
    <t>05,20 2023.07.08</t>
  </si>
  <si>
    <t>№4, 2023.07.08</t>
  </si>
  <si>
    <t>1.26</t>
  </si>
  <si>
    <t>КЛ10кВ РП-2-п/ст "Запикетная" Ф-130</t>
  </si>
  <si>
    <t>13,45 2023.07.18</t>
  </si>
  <si>
    <t>14,40 2023.07.18</t>
  </si>
  <si>
    <t>№6, 2023.07.18</t>
  </si>
  <si>
    <t>1.27</t>
  </si>
  <si>
    <t>КЛ10кВ РП-9- Парковая Ф-120</t>
  </si>
  <si>
    <t>13,15 2023.08.07</t>
  </si>
  <si>
    <t>14,15 2023.08.07</t>
  </si>
  <si>
    <t>№1, 2023.11.07</t>
  </si>
  <si>
    <t>1.28</t>
  </si>
  <si>
    <t>КЛ10кВ ТП-190-ТП-330</t>
  </si>
  <si>
    <t>04,30 2023.08.18</t>
  </si>
  <si>
    <t>06,30 2023.08.18</t>
  </si>
  <si>
    <t>№2, 2023.08.18</t>
  </si>
  <si>
    <t>1.29</t>
  </si>
  <si>
    <t>КЛ10кВ ТП-274-ТП-144</t>
  </si>
  <si>
    <t>15,20 2023.08.23</t>
  </si>
  <si>
    <t>16,00 2023.08.23</t>
  </si>
  <si>
    <t>№3, 2023.08.23</t>
  </si>
  <si>
    <t>1.30</t>
  </si>
  <si>
    <t>КЛ10кВ п/ст"Зеленогорская" БКТП-315 Ф-190</t>
  </si>
  <si>
    <t>10,45 2023.08.29</t>
  </si>
  <si>
    <t>12,15 2023.08.29</t>
  </si>
  <si>
    <t>№4, 2023.08.29</t>
  </si>
  <si>
    <t>1.31</t>
  </si>
  <si>
    <t>КЛ10кВ РП-9-ТП-2</t>
  </si>
  <si>
    <t>10,50 2023.08.29</t>
  </si>
  <si>
    <t>12,30 2023.08.29</t>
  </si>
  <si>
    <t>№5, 2023.08.29</t>
  </si>
  <si>
    <t>1.32</t>
  </si>
  <si>
    <t>КЛ10кВ ТП-273-ТП-102</t>
  </si>
  <si>
    <t>№6, 2023.10.29</t>
  </si>
  <si>
    <t>1.33</t>
  </si>
  <si>
    <t>КЛ10кВ ТП-296-ТП-247</t>
  </si>
  <si>
    <t>15,20 2023.09.06</t>
  </si>
  <si>
    <t>16,05 2023.09.06</t>
  </si>
  <si>
    <t>№1, 2023.09.06</t>
  </si>
  <si>
    <t>1.34</t>
  </si>
  <si>
    <t>КЛ10кВ РП-3-ТП-192</t>
  </si>
  <si>
    <t>04,50 2023.09.07</t>
  </si>
  <si>
    <t>05,30 2023.09.07</t>
  </si>
  <si>
    <t>№2, 2023.09.07</t>
  </si>
  <si>
    <t>1.35</t>
  </si>
  <si>
    <t>КЛ10кВ РП-10 -п/ст "Зеленогорская" Ф-118</t>
  </si>
  <si>
    <t>09,57 2023.09.07</t>
  </si>
  <si>
    <t>10,50 2023.09.07</t>
  </si>
  <si>
    <t>№3, 2023.09.07</t>
  </si>
  <si>
    <t>1.36</t>
  </si>
  <si>
    <t>01,20 2023.10.30</t>
  </si>
  <si>
    <t>01,55 2023.10.30</t>
  </si>
  <si>
    <t>Филиал ПАО «Россети Северный Кавказ" - "Ставропольэнерго"</t>
  </si>
  <si>
    <t>№1, 2023.10.30</t>
  </si>
  <si>
    <t>1.37</t>
  </si>
  <si>
    <t>КЛ10кВ РП-2- ТП 63</t>
  </si>
  <si>
    <t>01,40 2023.11.03</t>
  </si>
  <si>
    <t>02,05 2023.11.03</t>
  </si>
  <si>
    <t>№1, 2023.11.03</t>
  </si>
  <si>
    <t>1.38</t>
  </si>
  <si>
    <t>КЛ10кВ РП-4-п/ст "309" ф-165</t>
  </si>
  <si>
    <t>08,55 2023.11.05</t>
  </si>
  <si>
    <t>10,15 2023.11.05</t>
  </si>
  <si>
    <t>№2, 2023.11.05</t>
  </si>
  <si>
    <t>1.39</t>
  </si>
  <si>
    <t>КЛ10кВ РП-8-ТП-216</t>
  </si>
  <si>
    <t>11,00 2023.11.05</t>
  </si>
  <si>
    <t>12,40 2023.11.05</t>
  </si>
  <si>
    <t>№3, 2023.11.05</t>
  </si>
  <si>
    <t>1.40</t>
  </si>
  <si>
    <t>КЛ10кВ ТП-216-ТП-336</t>
  </si>
  <si>
    <t>12,45 2023.11.05</t>
  </si>
  <si>
    <t>№4, 2023.11.05</t>
  </si>
  <si>
    <t>1.41</t>
  </si>
  <si>
    <t>16,10 2023.11.09</t>
  </si>
  <si>
    <t>16,25 2023.11.09</t>
  </si>
  <si>
    <t>№5, 2023.08.09</t>
  </si>
  <si>
    <t>1.42</t>
  </si>
  <si>
    <t>КЛ10кВ ТП-93-ТП-267</t>
  </si>
  <si>
    <t>13,00 2023.11.24</t>
  </si>
  <si>
    <t>13,30 2023.11.24</t>
  </si>
  <si>
    <t>№6, 2023.11.24</t>
  </si>
  <si>
    <t>1.43</t>
  </si>
  <si>
    <t>КЛ10кВ ТП-159-ТП-39</t>
  </si>
  <si>
    <t>03,35 2023.12.05</t>
  </si>
  <si>
    <t>04,20 2023.12.05</t>
  </si>
  <si>
    <t>№1, 2023.12.05</t>
  </si>
  <si>
    <t>1.44</t>
  </si>
  <si>
    <t>КЛ10кВ РП-6-п/ст"Запикетная" Ф - 132</t>
  </si>
  <si>
    <t>14,10 2023.12.06</t>
  </si>
  <si>
    <t>14,55 2023.12.06</t>
  </si>
  <si>
    <t>№2, 2023.12.06</t>
  </si>
  <si>
    <t>1.45</t>
  </si>
  <si>
    <t>КЛ10кВ РП-5-РП-2</t>
  </si>
  <si>
    <t>14,30 2023.12.06</t>
  </si>
  <si>
    <t>№3, 2023.12.06</t>
  </si>
  <si>
    <t>1.46</t>
  </si>
  <si>
    <t>10,45 2023.12.13</t>
  </si>
  <si>
    <t>11,15 2023.12.13</t>
  </si>
  <si>
    <t>№4, 2023.12.13</t>
  </si>
  <si>
    <t>1.47</t>
  </si>
  <si>
    <t>КЛ10кВ ТП-183-ТП-30</t>
  </si>
  <si>
    <t>10,00 2023.12.25</t>
  </si>
  <si>
    <t>11,15 2023.12.25</t>
  </si>
  <si>
    <t>№5, 2023.02.25</t>
  </si>
  <si>
    <t>Добавить строку</t>
  </si>
  <si>
    <t>ИТОГО по всем прекращениям передачи электрической энергии за отчетный период:</t>
  </si>
  <si>
    <t>И</t>
  </si>
  <si>
    <t>по ограничениям, связанным с проведением ремонтных работ</t>
  </si>
  <si>
    <t>по аварийным ограничениям</t>
  </si>
  <si>
    <t>по внерегламентным отключениям</t>
  </si>
  <si>
    <t>по внерегламентным отключениям, учитываемым при расчете индикативных показателей надежности</t>
  </si>
  <si>
    <t>В1</t>
  </si>
  <si>
    <t>Форма 8.1.1. Ведомость присоединений потребителей услуг сетевой организации. (Свод)</t>
  </si>
  <si>
    <t>№п/п</t>
  </si>
  <si>
    <t>Месяц</t>
  </si>
  <si>
    <t>Количество точек поставки потребителей услуг сетевой организации, присоединенных к первичному уровню присоединения, шт</t>
  </si>
  <si>
    <t>Количество точек поставки потребителей услуг сетевой организации, присоединенных к первичному уровню присоединения, шт (версия регулятора)</t>
  </si>
  <si>
    <t>Помесячная расшифровка по форме 8.1.1 Приказ Министерства энергетики РФ от 29 ноября 2016 г. N 1256 (разместить ссылку на файл с расшифровкой)</t>
  </si>
  <si>
    <t xml:space="preserve">Примечание </t>
  </si>
  <si>
    <t>в разделении уровней напряжения ЭПУ потребителей электрической энергии</t>
  </si>
  <si>
    <t>СН1 (35 кВ)</t>
  </si>
  <si>
    <t>СН2 (6 - 20 кВ)</t>
  </si>
  <si>
    <t>НН (ниже 1 кВ)</t>
  </si>
  <si>
    <t>Январь</t>
  </si>
  <si>
    <t>https://regportal-tariff.ru/disclo/get_file?p_guid=aa2245d0-d5f2-4ce3-a51c-687c950eda6f</t>
  </si>
  <si>
    <r>
      <t xml:space="preserve">В столбце «Помесячная расшифровка по форме 8.1.1 Приказ Министерства энергетики РФ от 29 ноября 2016 г. N 1256» должна быть размещена ссылка на размещённый в хранилище документов заполненный шаблон с помесячной детализацией. В хранилище документов необходимо разместить Ведомость присоединений потребителей услуг, по форме 8.1.1. за каждый месяц отчетного периода.                                                                                       </t>
    </r>
    <r>
      <rPr>
        <b/>
        <sz val="10"/>
        <color theme="9" tint="-0.249977111117893"/>
        <rFont val="Tahoma"/>
        <family val="2"/>
        <charset val="204"/>
      </rPr>
      <t>Двойной клик по этой ячейке откроет диалог скачивания шаблона для помесячной расшифровки точек поставки.</t>
    </r>
    <r>
      <rPr>
        <b/>
        <sz val="10"/>
        <color rgb="FF000000"/>
        <rFont val="Tahoma"/>
        <family val="2"/>
        <charset val="204"/>
      </rPr>
      <t xml:space="preserve">_x000D_
</t>
    </r>
  </si>
  <si>
    <t>Февраль</t>
  </si>
  <si>
    <t>https://regportal-tariff.ru/disclo/get_file?p_guid=4bf57610-f18f-4a23-b758-c293c81c3915</t>
  </si>
  <si>
    <t>Март</t>
  </si>
  <si>
    <t>https://regportal-tariff.ru/disclo/get_file?p_guid=0b3bc7ed-53e5-4129-8972-ace9162e5d98</t>
  </si>
  <si>
    <t>Апрель</t>
  </si>
  <si>
    <t>https://regportal-tariff.ru/disclo/get_file?p_guid=290a78cf-4e15-42f3-90f4-229c3f9c123b</t>
  </si>
  <si>
    <t>Май</t>
  </si>
  <si>
    <t>https://regportal-tariff.ru/disclo/get_file?p_guid=47d24168-e657-4deb-8ffa-9e95b977543b</t>
  </si>
  <si>
    <t>Июнь</t>
  </si>
  <si>
    <t>https://regportal-tariff.ru/disclo/get_file?p_guid=45dee646-236f-439e-b617-71ae58a49235</t>
  </si>
  <si>
    <t>Июль</t>
  </si>
  <si>
    <t>https://regportal-tariff.ru/disclo/get_file?p_guid=bb432388-86c2-4f74-96c2-9dc4566a3e0b</t>
  </si>
  <si>
    <t>Август</t>
  </si>
  <si>
    <t>https://regportal-tariff.ru/disclo/get_file?p_guid=d3adba19-ee6a-4165-8e3b-04bc5e83c642</t>
  </si>
  <si>
    <t>Сентябрь</t>
  </si>
  <si>
    <t>https://regportal-tariff.ru/disclo/get_file?p_guid=816d0612-aa4a-4068-b3f8-c11ff4a7784d</t>
  </si>
  <si>
    <t>10</t>
  </si>
  <si>
    <t>Октябрь</t>
  </si>
  <si>
    <t>https://regportal-tariff.ru/disclo/get_file?p_guid=87f68d78-973d-458b-8e93-20edabae3937</t>
  </si>
  <si>
    <t>Ноябрь</t>
  </si>
  <si>
    <t>https://regportal-tariff.ru/disclo/get_file?p_guid=f7741fda-b01a-4bc7-a247-6a3d4f186426</t>
  </si>
  <si>
    <t>Декабрь</t>
  </si>
  <si>
    <t>https://regportal-tariff.ru/disclo/get_file?p_guid=09f58d97-f372-4774-94f9-bb55a5943e1e</t>
  </si>
  <si>
    <t>Форма 8.3. Расчет индикативного показателя уровня надежности оказываемых услуг для территориальных сетевых организаций и организации по управлению единой национальной (общероссийской) электрической сетью, долгосрочный период регулирования которых начался в период с 2018 года до 2023 года включительно</t>
  </si>
  <si>
    <t>СН1 (27,5 - 60 кВ),шт.</t>
  </si>
  <si>
    <t>Показатель средней продолжительности прекращений передачи электрической энергии на точку поставки по уровню напряжения ВН (П saidiBH), ч</t>
  </si>
  <si>
    <t>Показатель средней продолжительности прекращений передачи электрической энергии на точку поставки по уровню напряжения НН (П saidiHH), ч</t>
  </si>
  <si>
    <t>Показатель средней частоты прекращений передачи электрической энергии на точку поставки по уровню напряжения ВН (П saifiBH), шт.</t>
  </si>
  <si>
    <t>Показатель средней частоты прекращений передачи электрической энергии на точку поставки по уровню напряжения СН1 (П saifiCH1), шт.</t>
  </si>
  <si>
    <t>Средняя продолжительность прекращения передачи электрической энергии при проведении ремонтных работ (П saidi,рем), в том числе дифференцированная по уровням напряжения, ч</t>
  </si>
  <si>
    <t>10.1</t>
  </si>
  <si>
    <t>Средняя продолжительность прекращения передачи электрической энергии при проведении ремонтных работ по уровню напряжения ВН (П saidiBH,рем), ч</t>
  </si>
  <si>
    <t>10.2</t>
  </si>
  <si>
    <t>Средняя продолжительность прекращения передачи электрической энергии при проведении ремонтных работ по уровню напряжения СН1 (П saidiCH1,рем), ч</t>
  </si>
  <si>
    <t>10.3</t>
  </si>
  <si>
    <t>Средняя продолжительность прекращения передачи электрической энергии при проведении ремонтных работ по уровню напряжения СН2 (П saidiCH2,рем), ч</t>
  </si>
  <si>
    <t>10.4</t>
  </si>
  <si>
    <t>Средняя продолжительность прекращения передачи электрической энергии при проведении ремонтных работ по уровню напряжения НН (П saidiHH,рем), ч</t>
  </si>
  <si>
    <t>Средняя частота прекращений передачи электрической энергии при проведении ремонтных работ (П saifi,рем), в том числе дифференцированная по уровням напряжения, шт.</t>
  </si>
  <si>
    <t>11.1</t>
  </si>
  <si>
    <t>Средняя частота прекращений передачи электрической энергии при проведении ремонтных работ по уровню напряжения ВН (П saifiBH,рем), шт.</t>
  </si>
  <si>
    <t>11.2</t>
  </si>
  <si>
    <t>Средняя частота прекращений передачи электрической энергии при проведении ремонтных работ по уровню напряжения CH1 (П saifiCH1,рем), шт.</t>
  </si>
  <si>
    <t>11.3</t>
  </si>
  <si>
    <t>Средняя частота прекращений передачи электрической энергии при проведении ремонтных работ по уровню напряжения СН2 (П saifiCH2,рем), шт.</t>
  </si>
  <si>
    <t>11.4</t>
  </si>
  <si>
    <t>Средняя частота прекращений передачи электрической энергии при проведении ремонтных работ по уровню напряжения НН (П saifiHH,рем), шт.</t>
  </si>
  <si>
    <t>Форма 8.3.1. Расчет индикативного показателя уровня надежности оказываемых услуг для территориальных сетевых организаций и организации по управлению единой национальной (общероссийской) электрической сетью, долгосрочный период регулирования которых начинается с 2024 года</t>
  </si>
  <si>
    <t>Средняя продолжительность прекращения передачи электрической энергии на точку поставки (П saidi), в том числе дифференцированная по уровням напряжения, ч</t>
  </si>
  <si>
    <t>Средняя частота прекращений передачи электрической энергии на точку поставки (П saifi), в том числе дифференцированная по уровням напряжения, шт.</t>
  </si>
  <si>
    <t>4.2</t>
  </si>
  <si>
    <t>Средняя продолжительность прекращения передачи электрической энергии при проведении ремонтных работ по уровню напряжения НН (П saidiНН,рем), ч</t>
  </si>
  <si>
    <t>5.3</t>
  </si>
  <si>
    <t>5.4</t>
  </si>
  <si>
    <t>Средняя частота прекращений передачи электрической энергии при проведении ремонтных работ по уровню напряжения НН (П saifiНН,рем), шт</t>
  </si>
  <si>
    <t>Наименование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</si>
  <si>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</si>
  <si>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</si>
  <si>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Nзаяв_тпр - Nнсзаяв_тпр)</t>
  </si>
  <si>
    <t>Пзаяв_тпр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</si>
  <si>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</si>
  <si>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</si>
  <si>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max (1, Nсд_тпр - Nнссд_тпр)</t>
  </si>
  <si>
    <t>Пнс_тпр</t>
  </si>
  <si>
    <t>Показатель уровня качества осуществляемого технологического присоединения к сети,  Птпр</t>
  </si>
  <si>
    <t>Птпр</t>
  </si>
  <si>
    <t>markAxe_1</t>
  </si>
  <si>
    <t>ITEM</t>
  </si>
  <si>
    <t>COMMENT</t>
  </si>
  <si>
    <t>UNIT</t>
  </si>
  <si>
    <t>ТИП.ВЕР</t>
  </si>
  <si>
    <t>Форма 4.1. Показатели уровня надежности и уровня качества оказываемых услуг _x000D_
сетевой организации (для долгосрочных периодов регулирования, начавшихся с 2018 года)</t>
  </si>
  <si>
    <t>Показатель</t>
  </si>
  <si>
    <t>N формулы (пункта) МУ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</si>
  <si>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9"/>
        <rFont val="Tahoma"/>
        <family val="2"/>
        <charset val="204"/>
      </rPr>
      <t>п</t>
    </r>
    <r>
      <rPr>
        <sz val="9"/>
        <rFont val="Tahoma"/>
        <family val="2"/>
        <charset val="204"/>
      </rPr>
      <t>)</t>
    </r>
  </si>
  <si>
    <r>
      <t>Объем недоотпущенной электрической энергии (П</t>
    </r>
    <r>
      <rPr>
        <vertAlign val="subscript"/>
        <sz val="9"/>
        <rFont val="Tahoma"/>
        <family val="2"/>
        <charset val="204"/>
      </rPr>
      <t>ens</t>
    </r>
    <r>
      <rPr>
        <sz val="9"/>
        <rFont val="Tahoma"/>
        <family val="2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</si>
  <si>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9"/>
        <rFont val="Tahoma"/>
        <family val="2"/>
        <charset val="204"/>
      </rPr>
      <t>saidi</t>
    </r>
    <r>
      <rPr>
        <sz val="9"/>
        <rFont val="Tahoma"/>
        <family val="2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</si>
  <si>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9"/>
        <rFont val="Tahoma"/>
        <family val="2"/>
        <charset val="204"/>
      </rPr>
      <t>saifi</t>
    </r>
    <r>
      <rPr>
        <sz val="9"/>
        <rFont val="Tahoma"/>
        <family val="2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</si>
  <si>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9"/>
        <rFont val="Tahoma"/>
        <family val="2"/>
        <charset val="204"/>
      </rPr>
      <t>тпр</t>
    </r>
    <r>
      <rPr>
        <sz val="9"/>
        <rFont val="Tahoma"/>
        <family val="2"/>
        <charset val="204"/>
      </rPr>
      <t>)</t>
    </r>
  </si>
  <si>
    <t>7 или 12</t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</si>
  <si>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9"/>
        <rFont val="Tahoma"/>
        <family val="2"/>
        <charset val="204"/>
      </rPr>
      <t>тсо</t>
    </r>
    <r>
      <rPr>
        <sz val="9"/>
        <rFont val="Tahoma"/>
        <family val="2"/>
        <charset val="204"/>
      </rPr>
      <t>)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</si>
  <si>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п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п</t>
    </r>
  </si>
  <si>
    <t>Глава IV1  Методических указаний</t>
  </si>
  <si>
    <t>L.P.TPR</t>
  </si>
  <si>
    <t>ЧСЛ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</si>
  <si>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тпр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тпр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</si>
  <si>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тсо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тсо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</si>
  <si>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ens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ens</t>
    </r>
  </si>
  <si>
    <t>L.P.SAIDI</t>
  </si>
  <si>
    <t>Пsaidi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</si>
  <si>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saidi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saidi</t>
    </r>
  </si>
  <si>
    <t>Глава IV 2 Методических указаний</t>
  </si>
  <si>
    <t>L.P.SAIFI</t>
  </si>
  <si>
    <t>Пsaifi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</si>
  <si>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saifi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saifi</t>
    </r>
  </si>
  <si>
    <t xml:space="preserve"> Глава IV 2 Методических указаний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</si>
  <si>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</t>
    </r>
  </si>
  <si>
    <t>Глава V Методических указаний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</si>
  <si>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над1</t>
    </r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</si>
  <si>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</si>
  <si>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9"/>
        <rFont val="Tahoma"/>
        <family val="2"/>
        <charset val="204"/>
      </rPr>
      <t>кач</t>
    </r>
    <r>
      <rPr>
        <sz val="9"/>
        <rFont val="Tahoma"/>
        <family val="2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</si>
  <si>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9"/>
        <rFont val="Tahoma"/>
        <family val="2"/>
        <charset val="204"/>
      </rPr>
      <t>кач1</t>
    </r>
    <r>
      <rPr>
        <sz val="9"/>
        <rFont val="Tahoma"/>
        <family val="2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</si>
  <si>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9"/>
        <rFont val="Tahoma"/>
        <family val="2"/>
        <charset val="204"/>
      </rPr>
      <t>кач2</t>
    </r>
    <r>
      <rPr>
        <sz val="9"/>
        <rFont val="Tahoma"/>
        <family val="2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</si>
  <si>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9"/>
        <rFont val="Tahoma"/>
        <family val="2"/>
        <charset val="204"/>
      </rPr>
      <t>кач3</t>
    </r>
    <r>
      <rPr>
        <sz val="9"/>
        <rFont val="Tahoma"/>
        <family val="2"/>
        <charset val="204"/>
      </rPr>
      <t xml:space="preserve"> (для территориальной сетевой организации)</t>
    </r>
  </si>
  <si>
    <t>СПРАВОЧНО</t>
  </si>
  <si>
    <t>Коэффициент допустимого отклонения K1m:</t>
  </si>
  <si>
    <t>Коэффициент допустимого отклонения Km:</t>
  </si>
  <si>
    <t>Отчет предоставляется в рамках первого долгосрочного периода регулирования:</t>
  </si>
  <si>
    <t xml:space="preserve">Количество лет в текущем долгосрочном периоде </t>
  </si>
  <si>
    <t>Коэффициент допустимого отклонения Птпр в периоде t-1:</t>
  </si>
  <si>
    <t>Плановый показатель Птпр</t>
  </si>
  <si>
    <t>Фактический показатель Птпр</t>
  </si>
  <si>
    <t>Достижение показателя Птпр в периоде t-1 (да-1;нет-0)</t>
  </si>
  <si>
    <t>Коэффициент допустимого отклонения Пsaidi в периоде t-1:</t>
  </si>
  <si>
    <t>Плановый показатель Пsaidi</t>
  </si>
  <si>
    <t>Фактический показатель Пsaidi</t>
  </si>
  <si>
    <t>Достижение показателя Пsaidi в периоде t-1 (%)</t>
  </si>
  <si>
    <t>Коэффициент допустимого отклонения Пsaifi в периоде t-1:</t>
  </si>
  <si>
    <t>Плановый показатель Пsaifi</t>
  </si>
  <si>
    <t>Фактический показатель Пsaifi</t>
  </si>
  <si>
    <t>Достижение показателя Пsaifi в периоде t-1 (%)</t>
  </si>
  <si>
    <t>Коэффициент допустимого отклонения для Ккач1:</t>
  </si>
  <si>
    <t>Показатель средней продолжительности прекращений передачи электрической энергии на точку поставки (П saidiВН)</t>
  </si>
  <si>
    <t>Показатель средней продолжительности прекращений передачи электрической энергии на точку поставки (П saidiСН1)</t>
  </si>
  <si>
    <t>3.3</t>
  </si>
  <si>
    <t>Показатель средней продолжительности прекращений передачи электрической энергии на точку поставки (П saidiСН2)</t>
  </si>
  <si>
    <t>3.4</t>
  </si>
  <si>
    <t>Показатель средней продолжительности прекращений передачи электрической энергии на точку поставки (П saidiНН)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</si>
  <si>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9"/>
        <rFont val="Tahoma"/>
        <family val="2"/>
        <charset val="204"/>
      </rPr>
      <t>saifiВН</t>
    </r>
    <r>
      <rPr>
        <sz val="9"/>
        <rFont val="Tahoma"/>
        <family val="2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</si>
  <si>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9"/>
        <rFont val="Tahoma"/>
        <family val="2"/>
        <charset val="204"/>
      </rPr>
      <t>saifiСН1</t>
    </r>
    <r>
      <rPr>
        <sz val="9"/>
        <rFont val="Tahoma"/>
        <family val="2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</si>
  <si>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9"/>
        <rFont val="Tahoma"/>
        <family val="2"/>
        <charset val="204"/>
      </rPr>
      <t>saifiСН2</t>
    </r>
    <r>
      <rPr>
        <sz val="9"/>
        <rFont val="Tahoma"/>
        <family val="2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</si>
  <si>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9"/>
        <rFont val="Tahoma"/>
        <family val="2"/>
        <charset val="204"/>
      </rPr>
      <t>saifiНН</t>
    </r>
    <r>
      <rPr>
        <sz val="9"/>
        <rFont val="Tahoma"/>
        <family val="2"/>
        <charset val="204"/>
      </rPr>
      <t>)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</si>
  <si>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saidiВН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saidiВН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</si>
  <si>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saidiСН1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saidiСН1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</si>
  <si>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saidiСН2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saidiСН2</t>
    </r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</si>
  <si>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saidiНН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saidiНН</t>
    </r>
  </si>
  <si>
    <t>12.1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</si>
  <si>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saifiВН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saifiВН</t>
    </r>
  </si>
  <si>
    <t>12.2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</si>
  <si>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saifiСН1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saifiСН1</t>
    </r>
  </si>
  <si>
    <t>12.3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</si>
  <si>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saifiСН2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saifiСН2</t>
    </r>
  </si>
  <si>
    <t>12.4</t>
  </si>
  <si>
    <r>
      <t>Плановое значение показателя П</t>
    </r>
    <r>
      <rPr>
        <vertAlign val="subscript"/>
        <sz val="9"/>
        <rFont val="Tahoma"/>
        <family val="2"/>
        <charset val="204"/>
      </rPr>
      <t>saifiНН</t>
    </r>
    <r>
      <rPr>
        <sz val="9"/>
        <rFont val="Tahoma"/>
        <family val="2"/>
        <charset val="204"/>
      </rPr>
      <t>, П</t>
    </r>
    <r>
      <rPr>
        <vertAlign val="superscript"/>
        <sz val="9"/>
        <rFont val="Tahoma"/>
        <family val="2"/>
        <charset val="204"/>
      </rPr>
      <t>пл</t>
    </r>
    <r>
      <rPr>
        <vertAlign val="subscript"/>
        <sz val="9"/>
        <rFont val="Tahoma"/>
        <family val="2"/>
        <charset val="204"/>
      </rPr>
      <t>saifiНН</t>
    </r>
  </si>
  <si>
    <t>14.1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</si>
  <si>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над1 ВН</t>
    </r>
  </si>
  <si>
    <t>14.2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</si>
  <si>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над1 СН1</t>
    </r>
  </si>
  <si>
    <t>14.3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</si>
  <si>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над1 СН2</t>
    </r>
  </si>
  <si>
    <t>14.4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</si>
  <si>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над1 НН</t>
    </r>
  </si>
  <si>
    <t>15.1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</si>
  <si>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над2 ВН</t>
    </r>
  </si>
  <si>
    <t>15.2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</si>
  <si>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над2 СН1</t>
    </r>
  </si>
  <si>
    <t>15.3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</si>
  <si>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над2 СН2</t>
    </r>
  </si>
  <si>
    <t>15.4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</si>
  <si>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над2 НН</t>
    </r>
  </si>
  <si>
    <t>Форма 4.2. Расчет обобщенного показателя уровня надежности и качества _x000D_
оказываемых услуг (для долгосрочных периодов регулирования, начавшихся с 2018 года)</t>
  </si>
  <si>
    <t>Id ТСО</t>
  </si>
  <si>
    <t>ТСО</t>
  </si>
  <si>
    <t>Нарушения</t>
  </si>
  <si>
    <t>Понижающий коэффициент, корректирующий необходимую валовую выручку по данным МЭ</t>
  </si>
  <si>
    <t>Нарушения п. 14 (2) а) ПП РФ 1220</t>
  </si>
  <si>
    <t>Нарушения п. 14 (2) б) ПП РФ 1220</t>
  </si>
  <si>
    <t>Нарушения п. 14 (2) в) ПП РФ 1220</t>
  </si>
  <si>
    <t>Нарушения п. 14 (2) г) ПП РФ 1220</t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</si>
  <si>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кач</t>
    </r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</si>
  <si>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кач1</t>
    </r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</si>
  <si>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кач2</t>
    </r>
  </si>
  <si>
    <r>
      <t>Оценка достижения показателя уровня надежности оказываемых услуг, К</t>
    </r>
    <r>
      <rPr>
        <vertAlign val="subscript"/>
        <sz val="9"/>
        <rFont val="Tahoma"/>
        <family val="2"/>
        <charset val="204"/>
      </rPr>
      <t>кач3</t>
    </r>
  </si>
  <si>
    <r>
      <t>Обобщенный показатель уровня надежности и качества оказываемых услуг, К</t>
    </r>
    <r>
      <rPr>
        <vertAlign val="subscript"/>
        <sz val="9"/>
        <rFont val="Tahoma"/>
        <family val="2"/>
        <charset val="204"/>
      </rPr>
      <t>об</t>
    </r>
  </si>
  <si>
    <t>Максимальный процент корректировки</t>
  </si>
  <si>
    <t xml:space="preserve">Понижающий (повышающий) коэффициент, корректирующий необходимую валовую выручку сетевой организации с учетом надежности и качества производимых (реализуемых) товаров (услуг) </t>
  </si>
  <si>
    <t>Данные об экономических и технических характеристиках и (или) условиях деятельности территориальных сетевых организаций</t>
  </si>
  <si>
    <t>Характеристики и (или) условия деятельности сетевой организации</t>
  </si>
  <si>
    <t xml:space="preserve">Значение характеристики </t>
  </si>
  <si>
    <t xml:space="preserve"> подтверждающих документов (в том числе внутренних документов сетевой организации)</t>
  </si>
  <si>
    <t>Реквизиты</t>
  </si>
  <si>
    <t>Протяженность линий электропередачи в одноцепном выражении (ЛЭП), км</t>
  </si>
  <si>
    <t>Акты ввода-вывода основных средств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</si>
  <si>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</si>
  <si>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</si>
  <si>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Максимальное за год число точек поставки, шт.</t>
  </si>
  <si>
    <t>Акт технологического присоединения</t>
  </si>
  <si>
    <t>Число разъединителей и выключателей, шт.</t>
  </si>
  <si>
    <t>Паспорт, однолинейные схемы</t>
  </si>
  <si>
    <t>Средняя летняя температура, °C</t>
  </si>
  <si>
    <t>Интернет-ресурс</t>
  </si>
  <si>
    <t>https://world-weather.ru/pogoda/russia/kislovodsk/2023/</t>
  </si>
  <si>
    <t>Номер группы (m) территориальной сетевой организации по показателю Пsaidi</t>
  </si>
  <si>
    <t>Номер группы (m) территориальной сетевой организации по показателю Пsaifi</t>
  </si>
  <si>
    <t>Форма 9.1. Базовые значения показателей надежности, значения коэффициентов допустимых отклонений фактических значений показателей надежности от плановых и максимальной динамики улучшения плановых показателей надежности для групп территориальных сетевых организаций, имеющих сопоставимые друг с другом характеристики и (или) условия деятельности, сформированные по показателю средней продолжительности прекращения передачи электрической энергии на точку поставки (Пsaidi)</t>
  </si>
  <si>
    <t>Группы территориальных сетевых организаций</t>
  </si>
  <si>
    <t>Итог</t>
  </si>
  <si>
    <t>ЛЭП</t>
  </si>
  <si>
    <t>Доля</t>
  </si>
  <si>
    <t>T</t>
  </si>
  <si>
    <t>Плотность</t>
  </si>
  <si>
    <t>Базовые значения показателей надежности</t>
  </si>
  <si>
    <t>Максимальная динамика улучшения плановых показателей надежности</t>
  </si>
  <si>
    <t>Значения коэффициентов допустимых отклонений фактических значений показателей надежности от плановых</t>
  </si>
  <si>
    <t>итог</t>
  </si>
  <si>
    <t>ЛЭП 7 500 км и более, доля КЛ менее 10%, средняя летняя температура 20°С и более</t>
  </si>
  <si>
    <t>-</t>
  </si>
  <si>
    <t>ЛЭП 7 500 км и более, доля КЛ менее 10%, средняя летняя температура менее 20°С, число разъединителей и выключателей менее 25 000 штук</t>
  </si>
  <si>
    <t>ЛЭП 7 500 км и более, доля КЛ менее 10%, средняя летняя температура менее 20°С, число разъединителей и выключателей 25 000 шт. и более</t>
  </si>
  <si>
    <t>ЛЭП 7 500 км и более, доля КЛ 10% и более</t>
  </si>
  <si>
    <t>ЛЭП 10 км и более и менее 7500 км, доля КЛ 30% и более</t>
  </si>
  <si>
    <t>ЛЭП 10 км и более и менее 7500 км, доля КЛ менее 30%, плотность менее 20 штук/км, число точек поставки менее 10 000 штук</t>
  </si>
  <si>
    <t>ЛЭП 10 км и более и менее 7500 км, доля КЛ менее 30%, плотность менее 20 штук/км, число точек поставки 10 000 штук и более</t>
  </si>
  <si>
    <t>ЛЭП 10 км и более и менее 7500 км, доля КЛ менее 30%, плотность 20 штук/км и более</t>
  </si>
  <si>
    <t>ЛЭП менее 10 км</t>
  </si>
  <si>
    <t>Форма 9.2. Базовые значения показателей надежности, значения коэффициентов допустимых отклонений фактических значений показателей надежности от плановых и максимальной динамики улучшения плановых показателей надежности для групп территориальных сетевых организаций, имеющих сопоставимые друг с другом характеристики и (или) условия деятельности, сформированные по показателю средней частоты прекращения передачи электрической энергии на точку поставки (Пsaifi)</t>
  </si>
  <si>
    <t>ЛЭП 7 500 км и более, доля КЛ менее 10%</t>
  </si>
  <si>
    <t>ЛЭП 3 000 км и более и менее 7 500 км, доля КЛ менее 15%</t>
  </si>
  <si>
    <t>ЛЭП 3 000 км и более и менее 7 500 км, доля КЛ 15% и более</t>
  </si>
  <si>
    <t>ЛЭП 100 км и более и менее 3 000 км, доля КЛ 35% и более</t>
  </si>
  <si>
    <t>ЛЭП 100 км и более и менее 3 000 км, доля КЛ менее 35%</t>
  </si>
  <si>
    <t>ЛЭП от 10 км и более и менее 100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</si>
</sst>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000"/>
    <numFmt numFmtId="166" formatCode="#,##0.0000"/>
    <numFmt numFmtId="167" formatCode="0.0000"/>
    <numFmt numFmtId="168" formatCode="#,##0.00000"/>
    <numFmt numFmtId="169" formatCode="0.0"/>
    <numFmt numFmtId="170" formatCode="#,##0.0"/>
  </numFmts>
  <fonts count="49" x14ac:knownFonts="1">
    <font>
      <sz val="11"/>
      <color rgb="FF000000"/>
      <name val="Calibri"/>
      <scheme val="minor"/>
    </font>
    <font>
      <sz val="10"/>
      <color rgb="FF000000"/>
      <name val="Tahoma"/>
    </font>
    <font>
      <b/>
      <sz val="10"/>
      <color rgb="FFFF0000"/>
      <name val="Arial Cyr"/>
    </font>
    <font>
      <sz val="11"/>
      <color rgb="FFFFFFFF"/>
      <name val="Tahoma"/>
    </font>
    <font>
      <b/>
      <sz val="10"/>
      <name val="Tahoma"/>
    </font>
    <font>
      <sz val="10"/>
      <name val="Tahoma"/>
    </font>
    <font>
      <sz val="11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name val="Tahoma"/>
    </font>
    <font>
      <sz val="9"/>
      <color rgb="FFFFFFFF"/>
      <name val="Tahoma"/>
    </font>
    <font>
      <sz val="9"/>
      <color rgb="FFFF0000"/>
      <name val="Tahoma"/>
    </font>
    <font>
      <b/>
      <sz val="9"/>
      <name val="Tahoma"/>
    </font>
    <font>
      <b/>
      <sz val="9"/>
      <color rgb="FF000000"/>
      <name val="Tahoma"/>
    </font>
    <font>
      <b/>
      <sz val="1"/>
      <color theme="0"/>
      <name val="Tahoma"/>
    </font>
    <font>
      <sz val="12"/>
      <color rgb="FFBCBCBC"/>
      <name val="Tahoma"/>
    </font>
    <font>
      <sz val="9"/>
      <color rgb="FF333399"/>
      <name val="Tahoma"/>
    </font>
    <font>
      <sz val="9"/>
      <color rgb="FF808080"/>
      <name val="Tahoma"/>
    </font>
    <font>
      <i/>
      <sz val="9"/>
      <name val="Tahoma"/>
    </font>
    <font>
      <sz val="9"/>
      <color theme="1"/>
      <name val="Tahoma"/>
    </font>
    <font>
      <sz val="8"/>
      <color rgb="FFC0C0C0"/>
      <name val="Tahoma"/>
    </font>
    <font>
      <sz val="9"/>
      <color theme="0"/>
      <name val="Tahoma"/>
    </font>
    <font>
      <sz val="1"/>
      <color theme="0"/>
      <name val="Tahoma"/>
    </font>
    <font>
      <sz val="8"/>
      <name val="Tahoma"/>
    </font>
    <font>
      <sz val="9"/>
      <color theme="0" tint="-0.34998626667073579"/>
      <name val="Tahoma"/>
    </font>
    <font>
      <sz val="8"/>
      <color rgb="FF333333"/>
      <name val="Tahoma"/>
    </font>
    <font>
      <sz val="8"/>
      <color rgb="FFFFFFFF"/>
      <name val="Tahoma"/>
    </font>
    <font>
      <sz val="14"/>
      <color rgb="FFBCBCBC"/>
      <name val="Calibri"/>
    </font>
    <font>
      <sz val="11"/>
      <color rgb="FF000000"/>
      <name val="Calibri"/>
    </font>
    <font>
      <sz val="11"/>
      <color indexed="0"/>
      <name val="Calibri"/>
      <family val="2"/>
      <scheme val="minor"/>
    </font>
    <font>
      <sz val="11"/>
      <name val="Calibri"/>
      <scheme val="minor"/>
    </font>
    <font>
      <u/>
      <sz val="9"/>
      <color rgb="FF000000"/>
      <name val="Tahoma"/>
    </font>
    <font>
      <sz val="11"/>
      <color rgb="FF000000"/>
      <name val="Calibri"/>
      <scheme val="minor"/>
    </font>
    <font>
      <sz val="9"/>
      <name val="Tahoma"/>
      <family val="2"/>
      <charset val="204"/>
    </font>
    <font>
      <sz val="7"/>
      <name val="Tahoma"/>
      <family val="2"/>
      <charset val="204"/>
    </font>
    <font>
      <b/>
      <sz val="10"/>
      <color theme="9" tint="-0.249977111117893"/>
      <name val="Tahoma"/>
      <family val="2"/>
      <charset val="204"/>
    </font>
    <font>
      <b/>
      <sz val="10"/>
      <color rgb="FF000000"/>
      <name val="Tahoma"/>
      <family val="2"/>
      <charset val="204"/>
    </font>
    <font>
      <vertAlign val="subscript"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</font>
    <font>
      <sz val="14"/>
      <name val="Tahoma"/>
      <family val="2"/>
      <charset val="204"/>
    </font>
    <font>
      <sz val="14"/>
      <color rgb="FF000000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rgb="FF000000"/>
      <name val="Calibri"/>
      <family val="2"/>
      <charset val="204"/>
      <scheme val="minor"/>
    </font>
    <font>
      <i/>
      <sz val="12"/>
      <name val="Tahoma"/>
      <family val="2"/>
      <charset val="204"/>
    </font>
    <font>
      <sz val="14"/>
      <color rgb="FF000000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theme="0" tint="-0.34998626667073579"/>
      <name val="Tahoma"/>
      <family val="2"/>
      <charset val="204"/>
    </font>
    <font>
      <sz val="14"/>
      <color rgb="FF333333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BCBCBC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lightDown">
        <fgColor rgb="FFFFFFFF"/>
        <bgColor rgb="FFF2F2F2"/>
      </patternFill>
    </fill>
    <fill>
      <patternFill patternType="solid">
        <fgColor rgb="FFC0C0C0"/>
      </patternFill>
    </fill>
    <fill>
      <patternFill patternType="lightDown">
        <fgColor rgb="FFD8D8D8"/>
        <bgColor rgb="FFFFFFFF"/>
      </patternFill>
    </fill>
    <fill>
      <patternFill patternType="solid">
        <fgColor rgb="FFFF808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CCFF"/>
      </patternFill>
    </fill>
    <fill>
      <patternFill patternType="solid">
        <fgColor rgb="FFCCCCFF"/>
      </patternFill>
    </fill>
    <fill>
      <patternFill patternType="solid">
        <fgColor theme="0" tint="-0.249977111117893"/>
        <bgColor indexed="65"/>
      </patternFill>
    </fill>
    <fill>
      <patternFill patternType="solid">
        <fgColor rgb="FFCC0000"/>
      </patternFill>
    </fill>
    <fill>
      <patternFill patternType="solid">
        <fgColor rgb="FF0066CC"/>
      </patternFill>
    </fill>
    <fill>
      <patternFill patternType="solid">
        <fgColor rgb="FFFFFF00"/>
      </patternFill>
    </fill>
  </fills>
  <borders count="3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CBCBC"/>
      </left>
      <right/>
      <top/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/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rgb="FFC0C0C0"/>
      </bottom>
      <diagonal/>
    </border>
    <border>
      <left/>
      <right/>
      <top style="thin">
        <color theme="0" tint="-0.249977111117893"/>
      </top>
      <bottom style="thin">
        <color rgb="FFC0C0C0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</borders>
  <cellStyleXfs count="262">
    <xf numFmtId="0" fontId="0" fillId="0" borderId="0" applyFill="0" applyBorder="0">
      <alignment vertical="top"/>
    </xf>
    <xf numFmtId="0" fontId="1" fillId="0" borderId="0" applyFill="0" applyBorder="0">
      <alignment vertical="top" wrapText="1"/>
    </xf>
    <xf numFmtId="49" fontId="2" fillId="0" borderId="0" applyFill="0" applyBorder="0">
      <alignment vertical="top" wrapText="1"/>
    </xf>
    <xf numFmtId="49" fontId="3" fillId="0" borderId="0" applyFill="0" applyBorder="0">
      <alignment wrapText="1"/>
    </xf>
    <xf numFmtId="0" fontId="4" fillId="0" borderId="0" applyFill="0" applyBorder="0">
      <alignment vertical="center" wrapText="1"/>
    </xf>
    <xf numFmtId="0" fontId="5" fillId="2" borderId="1">
      <alignment horizontal="center" vertical="center" wrapText="1"/>
    </xf>
    <xf numFmtId="0" fontId="5" fillId="2" borderId="2">
      <alignment horizontal="center" vertical="center" wrapText="1"/>
    </xf>
    <xf numFmtId="0" fontId="5" fillId="2" borderId="3">
      <alignment horizontal="center" vertical="center" wrapText="1"/>
    </xf>
    <xf numFmtId="0" fontId="5" fillId="3" borderId="4">
      <alignment horizontal="right" vertical="center" wrapText="1"/>
    </xf>
    <xf numFmtId="0" fontId="5" fillId="3" borderId="5">
      <alignment horizontal="right" vertical="center" wrapText="1"/>
    </xf>
    <xf numFmtId="0" fontId="6" fillId="0" borderId="4" applyFill="0">
      <alignment wrapText="1"/>
    </xf>
    <xf numFmtId="0" fontId="7" fillId="4" borderId="6">
      <alignment horizontal="center" vertical="center" wrapText="1"/>
      <protection locked="0"/>
    </xf>
    <xf numFmtId="0" fontId="1" fillId="0" borderId="4" applyFill="0">
      <alignment vertical="center" wrapText="1"/>
    </xf>
    <xf numFmtId="0" fontId="7" fillId="5" borderId="6">
      <alignment horizontal="center" vertical="center" wrapText="1"/>
    </xf>
    <xf numFmtId="0" fontId="1" fillId="0" borderId="4" applyFill="0">
      <alignment horizontal="left" vertical="center" wrapText="1"/>
    </xf>
    <xf numFmtId="0" fontId="7" fillId="6" borderId="6">
      <alignment horizontal="center" vertical="center" wrapText="1"/>
    </xf>
    <xf numFmtId="0" fontId="7" fillId="7" borderId="6">
      <alignment horizontal="center" vertical="center" wrapText="1"/>
      <protection locked="0"/>
    </xf>
    <xf numFmtId="0" fontId="5" fillId="3" borderId="0" applyBorder="0">
      <alignment horizontal="right" vertical="center" wrapText="1"/>
    </xf>
    <xf numFmtId="0" fontId="8" fillId="0" borderId="4" applyFill="0">
      <alignment horizontal="left" vertical="center" wrapText="1"/>
    </xf>
    <xf numFmtId="0" fontId="8" fillId="0" borderId="7" applyFill="0">
      <alignment horizontal="left" vertical="center" wrapText="1"/>
    </xf>
    <xf numFmtId="0" fontId="5" fillId="3" borderId="6">
      <alignment horizontal="right" vertical="center" wrapText="1"/>
    </xf>
    <xf numFmtId="0" fontId="5" fillId="3" borderId="8">
      <alignment horizontal="right" vertical="center" wrapText="1"/>
    </xf>
    <xf numFmtId="0" fontId="1" fillId="0" borderId="4" applyFill="0">
      <alignment wrapText="1"/>
    </xf>
    <xf numFmtId="0" fontId="1" fillId="0" borderId="0" applyFill="0" applyBorder="0">
      <alignment vertical="center" wrapText="1"/>
    </xf>
    <xf numFmtId="0" fontId="5" fillId="3" borderId="9">
      <alignment horizontal="right" vertical="center" wrapText="1"/>
    </xf>
    <xf numFmtId="0" fontId="5" fillId="3" borderId="10">
      <alignment horizontal="right" vertical="center" wrapText="1"/>
    </xf>
    <xf numFmtId="0" fontId="6" fillId="0" borderId="9" applyFill="0">
      <alignment wrapText="1"/>
    </xf>
    <xf numFmtId="0" fontId="6" fillId="0" borderId="10" applyFill="0">
      <alignment wrapText="1"/>
    </xf>
    <xf numFmtId="0" fontId="6" fillId="0" borderId="10" applyFill="0">
      <alignment vertical="center" wrapText="1"/>
    </xf>
    <xf numFmtId="0" fontId="9" fillId="8" borderId="0" applyBorder="0">
      <alignment horizontal="right" vertical="center" wrapText="1"/>
    </xf>
    <xf numFmtId="0" fontId="9" fillId="8" borderId="0" applyBorder="0">
      <alignment vertical="center" wrapText="1"/>
    </xf>
    <xf numFmtId="0" fontId="10" fillId="0" borderId="0" applyFill="0" applyBorder="0">
      <alignment vertical="center" wrapText="1"/>
    </xf>
    <xf numFmtId="0" fontId="7" fillId="0" borderId="0" applyFill="0" applyBorder="0">
      <alignment vertical="center" wrapText="1"/>
    </xf>
    <xf numFmtId="0" fontId="32" fillId="0" borderId="0" applyFill="0" applyBorder="0">
      <alignment vertical="top"/>
    </xf>
    <xf numFmtId="0" fontId="9" fillId="0" borderId="11" applyFill="0">
      <alignment horizontal="left" vertical="center" wrapText="1"/>
    </xf>
    <xf numFmtId="164" fontId="9" fillId="8" borderId="12">
      <alignment horizontal="right" vertical="center" wrapText="1"/>
    </xf>
    <xf numFmtId="164" fontId="9" fillId="8" borderId="0" applyBorder="0">
      <alignment vertical="center" wrapText="1"/>
    </xf>
    <xf numFmtId="164" fontId="9" fillId="8" borderId="0" applyBorder="0">
      <alignment horizontal="right" vertical="center" wrapText="1"/>
    </xf>
    <xf numFmtId="49" fontId="9" fillId="8" borderId="0" applyBorder="0">
      <alignment horizontal="right" vertical="center" wrapText="1"/>
    </xf>
    <xf numFmtId="0" fontId="9" fillId="6" borderId="13">
      <alignment horizontal="center" vertical="center" wrapText="1"/>
    </xf>
    <xf numFmtId="49" fontId="9" fillId="7" borderId="13">
      <alignment horizontal="center" vertical="center" wrapText="1"/>
      <protection locked="0"/>
    </xf>
    <xf numFmtId="1" fontId="9" fillId="7" borderId="13">
      <alignment horizontal="center" vertical="center" wrapText="1"/>
      <protection locked="0"/>
    </xf>
    <xf numFmtId="49" fontId="11" fillId="8" borderId="0" applyBorder="0">
      <alignment horizontal="right" vertical="center" wrapText="1"/>
    </xf>
    <xf numFmtId="49" fontId="9" fillId="6" borderId="13">
      <alignment horizontal="center" vertical="center" wrapText="1"/>
    </xf>
    <xf numFmtId="0" fontId="9" fillId="0" borderId="0" applyFill="0" applyBorder="0">
      <alignment horizontal="right" vertical="center" wrapText="1"/>
    </xf>
    <xf numFmtId="49" fontId="7" fillId="7" borderId="13">
      <alignment horizontal="center" vertical="center" wrapText="1"/>
      <protection locked="0"/>
    </xf>
    <xf numFmtId="49" fontId="9" fillId="0" borderId="0" applyFill="0" applyBorder="0">
      <alignment horizontal="center" vertical="center" wrapText="1"/>
    </xf>
    <xf numFmtId="0" fontId="9" fillId="8" borderId="0" applyBorder="0">
      <alignment horizontal="center" vertical="center" wrapText="1"/>
    </xf>
    <xf numFmtId="49" fontId="9" fillId="4" borderId="13">
      <alignment horizontal="center" vertical="center" wrapText="1"/>
      <protection locked="0"/>
    </xf>
    <xf numFmtId="0" fontId="9" fillId="0" borderId="0" applyFill="0" applyBorder="0">
      <alignment horizontal="center" vertical="center" wrapText="1"/>
    </xf>
    <xf numFmtId="49" fontId="12" fillId="0" borderId="14" applyFill="0">
      <alignment horizontal="left" vertical="center" wrapText="1"/>
    </xf>
    <xf numFmtId="0" fontId="5" fillId="9" borderId="15">
      <alignment vertical="center" wrapText="1"/>
    </xf>
    <xf numFmtId="0" fontId="13" fillId="0" borderId="16" applyFill="0">
      <alignment horizontal="left" vertical="center" wrapText="1"/>
    </xf>
    <xf numFmtId="0" fontId="7" fillId="0" borderId="16" applyFill="0">
      <alignment horizontal="left" vertical="center" wrapText="1"/>
    </xf>
    <xf numFmtId="49" fontId="9" fillId="0" borderId="14" applyFill="0">
      <alignment horizontal="left" vertical="center" wrapText="1"/>
    </xf>
    <xf numFmtId="49" fontId="9" fillId="8" borderId="0" applyBorder="0">
      <alignment horizontal="center" vertical="center" wrapText="1"/>
    </xf>
    <xf numFmtId="49" fontId="7" fillId="10" borderId="17">
      <alignment horizontal="center" vertical="center" wrapText="1"/>
    </xf>
    <xf numFmtId="49" fontId="9" fillId="10" borderId="17">
      <alignment horizontal="center" vertical="center" wrapText="1"/>
    </xf>
    <xf numFmtId="49" fontId="14" fillId="0" borderId="18" applyFill="0">
      <alignment horizontal="center" vertical="center" wrapText="1"/>
    </xf>
    <xf numFmtId="0" fontId="12" fillId="0" borderId="19" applyFill="0">
      <alignment vertical="center" wrapText="1"/>
    </xf>
    <xf numFmtId="49" fontId="9" fillId="0" borderId="19" applyFill="0">
      <alignment vertical="center" wrapText="1"/>
    </xf>
    <xf numFmtId="49" fontId="7" fillId="0" borderId="20" applyFill="0">
      <alignment vertical="center" wrapText="1"/>
    </xf>
    <xf numFmtId="0" fontId="9" fillId="0" borderId="0" applyFill="0" applyBorder="0">
      <alignment vertical="center" wrapText="1"/>
    </xf>
    <xf numFmtId="49" fontId="15" fillId="0" borderId="5" applyFill="0">
      <alignment horizontal="right" vertical="center" wrapText="1"/>
    </xf>
    <xf numFmtId="0" fontId="9" fillId="0" borderId="17" applyFill="0">
      <alignment horizontal="center" vertical="center" wrapText="1"/>
    </xf>
    <xf numFmtId="49" fontId="9" fillId="8" borderId="17">
      <alignment horizontal="left" vertical="center" wrapText="1"/>
    </xf>
    <xf numFmtId="0" fontId="9" fillId="7" borderId="17">
      <alignment horizontal="center" vertical="center" wrapText="1"/>
      <protection locked="0"/>
    </xf>
    <xf numFmtId="49" fontId="7" fillId="4" borderId="17">
      <alignment horizontal="center" vertical="center" wrapText="1"/>
      <protection locked="0"/>
    </xf>
    <xf numFmtId="0" fontId="9" fillId="4" borderId="17">
      <alignment horizontal="center" vertical="center" wrapText="1"/>
      <protection locked="0"/>
    </xf>
    <xf numFmtId="49" fontId="15" fillId="0" borderId="5" applyFill="0">
      <alignment horizontal="center" vertical="center" wrapText="1"/>
    </xf>
    <xf numFmtId="49" fontId="9" fillId="7" borderId="17">
      <alignment horizontal="left" vertical="center" wrapText="1"/>
      <protection locked="0"/>
    </xf>
    <xf numFmtId="49" fontId="16" fillId="11" borderId="21">
      <alignment horizontal="left" vertical="center" wrapText="1"/>
    </xf>
    <xf numFmtId="49" fontId="16" fillId="11" borderId="11">
      <alignment horizontal="left" vertical="center" wrapText="1"/>
    </xf>
    <xf numFmtId="49" fontId="16" fillId="11" borderId="22">
      <alignment horizontal="left" vertical="center" wrapText="1"/>
    </xf>
    <xf numFmtId="0" fontId="13" fillId="0" borderId="23" applyFill="0">
      <alignment horizontal="left" vertical="center" wrapText="1"/>
    </xf>
    <xf numFmtId="0" fontId="7" fillId="0" borderId="23" applyFill="0">
      <alignment horizontal="left" vertical="center" wrapText="1"/>
    </xf>
    <xf numFmtId="167" fontId="9" fillId="8" borderId="0" applyBorder="0">
      <alignment vertical="center" wrapText="1"/>
    </xf>
    <xf numFmtId="167" fontId="9" fillId="8" borderId="0" applyBorder="0">
      <alignment horizontal="center" vertical="center" wrapText="1"/>
    </xf>
    <xf numFmtId="49" fontId="9" fillId="0" borderId="11" applyFill="0">
      <alignment horizontal="left" vertical="center" wrapText="1"/>
    </xf>
    <xf numFmtId="49" fontId="9" fillId="0" borderId="23" applyFill="0">
      <alignment vertical="center" wrapText="1"/>
    </xf>
    <xf numFmtId="1" fontId="9" fillId="0" borderId="11" applyFill="0">
      <alignment vertical="center" wrapText="1"/>
    </xf>
    <xf numFmtId="0" fontId="9" fillId="0" borderId="11" applyFill="0">
      <alignment vertical="center" wrapText="1"/>
    </xf>
    <xf numFmtId="49" fontId="9" fillId="0" borderId="13" applyFill="0">
      <alignment horizontal="center" vertical="center" wrapText="1"/>
    </xf>
    <xf numFmtId="1" fontId="9" fillId="0" borderId="13" applyFill="0">
      <alignment horizontal="center" vertical="center" wrapText="1"/>
    </xf>
    <xf numFmtId="167" fontId="9" fillId="0" borderId="24" applyFill="0">
      <alignment horizontal="center" vertical="center" wrapText="1"/>
    </xf>
    <xf numFmtId="0" fontId="9" fillId="0" borderId="24" applyFill="0">
      <alignment horizontal="center" vertical="center" wrapText="1"/>
    </xf>
    <xf numFmtId="167" fontId="9" fillId="0" borderId="24" applyFill="0">
      <alignment horizontal="right" vertical="center" wrapText="1"/>
    </xf>
    <xf numFmtId="49" fontId="9" fillId="0" borderId="25" applyFill="0">
      <alignment horizontal="center" vertical="center" wrapText="1"/>
    </xf>
    <xf numFmtId="167" fontId="9" fillId="0" borderId="25" applyFill="0">
      <alignment horizontal="center" vertical="center" wrapText="1"/>
    </xf>
    <xf numFmtId="0" fontId="9" fillId="0" borderId="25" applyFill="0">
      <alignment horizontal="center" vertical="center" wrapText="1"/>
    </xf>
    <xf numFmtId="167" fontId="9" fillId="0" borderId="25" applyFill="0">
      <alignment horizontal="right" vertical="center" wrapText="1"/>
    </xf>
    <xf numFmtId="49" fontId="9" fillId="0" borderId="11" applyFill="0">
      <alignment horizontal="center" vertical="center" wrapText="1"/>
    </xf>
    <xf numFmtId="3" fontId="9" fillId="0" borderId="11" applyFill="0">
      <alignment horizontal="center" vertical="center" wrapText="1"/>
    </xf>
    <xf numFmtId="0" fontId="9" fillId="0" borderId="11" applyFill="0">
      <alignment horizontal="center" vertical="center" wrapText="1"/>
    </xf>
    <xf numFmtId="3" fontId="9" fillId="0" borderId="11" applyFill="0">
      <alignment horizontal="right" vertical="center" wrapText="1"/>
    </xf>
    <xf numFmtId="49" fontId="9" fillId="5" borderId="26">
      <alignment horizontal="center" vertical="center" wrapText="1"/>
    </xf>
    <xf numFmtId="49" fontId="9" fillId="5" borderId="24">
      <alignment vertical="center" wrapText="1"/>
    </xf>
    <xf numFmtId="166" fontId="9" fillId="0" borderId="24" applyFill="0">
      <alignment horizontal="right" vertical="center" wrapText="1"/>
    </xf>
    <xf numFmtId="166" fontId="9" fillId="6" borderId="24">
      <alignment horizontal="right" vertical="center" wrapText="1"/>
    </xf>
    <xf numFmtId="49" fontId="9" fillId="5" borderId="13">
      <alignment horizontal="center" vertical="center" wrapText="1"/>
    </xf>
    <xf numFmtId="166" fontId="9" fillId="0" borderId="13" applyFill="0">
      <alignment horizontal="right" vertical="center" wrapText="1"/>
    </xf>
    <xf numFmtId="0" fontId="9" fillId="0" borderId="13" applyFill="0">
      <alignment horizontal="center" vertical="center" wrapText="1"/>
    </xf>
    <xf numFmtId="3" fontId="9" fillId="0" borderId="13" applyFill="0">
      <alignment horizontal="right" vertical="center" wrapText="1"/>
    </xf>
    <xf numFmtId="49" fontId="9" fillId="0" borderId="13" applyFill="0">
      <alignment horizontal="left" vertical="center" wrapText="1"/>
    </xf>
    <xf numFmtId="10" fontId="9" fillId="4" borderId="13">
      <alignment horizontal="right" vertical="center" wrapText="1"/>
      <protection locked="0"/>
    </xf>
    <xf numFmtId="3" fontId="9" fillId="6" borderId="13">
      <alignment horizontal="right" vertical="center" wrapText="1"/>
    </xf>
    <xf numFmtId="3" fontId="9" fillId="4" borderId="13">
      <alignment horizontal="right" vertical="center" wrapText="1"/>
      <protection locked="0"/>
    </xf>
    <xf numFmtId="2" fontId="9" fillId="0" borderId="13" applyFill="0">
      <alignment horizontal="right" vertical="center" wrapText="1"/>
    </xf>
    <xf numFmtId="2" fontId="9" fillId="8" borderId="13">
      <alignment horizontal="right" vertical="center" wrapText="1"/>
    </xf>
    <xf numFmtId="1" fontId="9" fillId="4" borderId="13">
      <alignment horizontal="right" vertical="center" wrapText="1"/>
      <protection locked="0"/>
    </xf>
    <xf numFmtId="49" fontId="9" fillId="5" borderId="13">
      <alignment vertical="center" wrapText="1"/>
    </xf>
    <xf numFmtId="166" fontId="9" fillId="6" borderId="13">
      <alignment horizontal="right" vertical="center" wrapText="1"/>
    </xf>
    <xf numFmtId="4" fontId="9" fillId="0" borderId="13" applyFill="0">
      <alignment horizontal="right" vertical="center" wrapText="1"/>
    </xf>
    <xf numFmtId="49" fontId="9" fillId="0" borderId="13" applyFill="0">
      <alignment vertical="center" wrapText="1"/>
    </xf>
    <xf numFmtId="0" fontId="9" fillId="0" borderId="13" applyFill="0">
      <alignment horizontal="left" vertical="center" wrapText="1"/>
    </xf>
    <xf numFmtId="0" fontId="17" fillId="8" borderId="0" applyBorder="0">
      <alignment vertical="center" wrapText="1"/>
    </xf>
    <xf numFmtId="0" fontId="9" fillId="8" borderId="23">
      <alignment horizontal="left" vertical="center" wrapText="1"/>
    </xf>
    <xf numFmtId="49" fontId="9" fillId="0" borderId="23" applyFill="0">
      <alignment horizontal="left" vertical="center" wrapText="1"/>
    </xf>
    <xf numFmtId="0" fontId="9" fillId="0" borderId="12" applyFill="0">
      <alignment horizontal="left" vertical="center" wrapText="1"/>
    </xf>
    <xf numFmtId="0" fontId="9" fillId="0" borderId="0" applyFill="0" applyBorder="0">
      <alignment horizontal="left" vertical="center" wrapText="1"/>
    </xf>
    <xf numFmtId="49" fontId="18" fillId="8" borderId="0" applyBorder="0">
      <alignment vertical="center" wrapText="1"/>
    </xf>
    <xf numFmtId="1" fontId="9" fillId="8" borderId="0" applyBorder="0">
      <alignment horizontal="center" vertical="center" wrapText="1"/>
    </xf>
    <xf numFmtId="1" fontId="9" fillId="0" borderId="12" applyFill="0">
      <alignment vertical="center" wrapText="1"/>
    </xf>
    <xf numFmtId="0" fontId="9" fillId="0" borderId="12" applyFill="0">
      <alignment vertical="center" wrapText="1"/>
    </xf>
    <xf numFmtId="1" fontId="9" fillId="0" borderId="21" applyFill="0">
      <alignment horizontal="center" vertical="center" wrapText="1"/>
    </xf>
    <xf numFmtId="1" fontId="9" fillId="0" borderId="11" applyFill="0">
      <alignment horizontal="center" vertical="center" wrapText="1"/>
    </xf>
    <xf numFmtId="1" fontId="9" fillId="0" borderId="22" applyFill="0">
      <alignment horizontal="center" vertical="center" wrapText="1"/>
    </xf>
    <xf numFmtId="49" fontId="9" fillId="0" borderId="24" applyFill="0">
      <alignment horizontal="center" vertical="center" wrapText="1"/>
    </xf>
    <xf numFmtId="0" fontId="9" fillId="5" borderId="13">
      <alignment vertical="center" wrapText="1"/>
    </xf>
    <xf numFmtId="4" fontId="9" fillId="4" borderId="13">
      <alignment horizontal="right" vertical="center" wrapText="1"/>
      <protection locked="0"/>
    </xf>
    <xf numFmtId="4" fontId="9" fillId="6" borderId="13">
      <alignment horizontal="right" vertical="center" wrapText="1"/>
    </xf>
    <xf numFmtId="0" fontId="9" fillId="5" borderId="13">
      <alignment horizontal="left" vertical="center" wrapText="1"/>
    </xf>
    <xf numFmtId="168" fontId="9" fillId="0" borderId="13" applyFill="0">
      <alignment horizontal="right" vertical="center" wrapText="1"/>
    </xf>
    <xf numFmtId="0" fontId="12" fillId="8" borderId="0" applyBorder="0">
      <alignment horizontal="right" vertical="center" wrapText="1"/>
    </xf>
    <xf numFmtId="169" fontId="12" fillId="8" borderId="0" applyBorder="0">
      <alignment horizontal="center" vertical="center" wrapText="1"/>
    </xf>
    <xf numFmtId="49" fontId="9" fillId="5" borderId="24">
      <alignment horizontal="center" vertical="center" wrapText="1"/>
    </xf>
    <xf numFmtId="0" fontId="9" fillId="5" borderId="24">
      <alignment vertical="center" wrapText="1"/>
    </xf>
    <xf numFmtId="3" fontId="9" fillId="6" borderId="24">
      <alignment horizontal="right" vertical="center" wrapText="1"/>
    </xf>
    <xf numFmtId="166" fontId="9" fillId="8" borderId="0" applyBorder="0">
      <alignment horizontal="center" vertical="center" wrapText="1"/>
    </xf>
    <xf numFmtId="170" fontId="9" fillId="4" borderId="13">
      <alignment horizontal="right" vertical="center" wrapText="1"/>
      <protection locked="0"/>
    </xf>
    <xf numFmtId="170" fontId="9" fillId="0" borderId="13" applyFill="0">
      <alignment horizontal="right" vertical="center" wrapText="1"/>
    </xf>
    <xf numFmtId="169" fontId="9" fillId="0" borderId="13" applyFill="0">
      <alignment horizontal="right" vertical="center" wrapText="1"/>
    </xf>
    <xf numFmtId="0" fontId="9" fillId="0" borderId="13" applyFill="0">
      <alignment vertical="center" wrapText="1"/>
    </xf>
    <xf numFmtId="49" fontId="9" fillId="0" borderId="0" applyFill="0" applyBorder="0">
      <alignment vertical="center" wrapText="1"/>
    </xf>
    <xf numFmtId="0" fontId="18" fillId="8" borderId="0" applyBorder="0">
      <alignment horizontal="center" vertical="center" wrapText="1"/>
    </xf>
    <xf numFmtId="0" fontId="12" fillId="8" borderId="0" applyBorder="0">
      <alignment horizontal="center" vertical="center" wrapText="1"/>
    </xf>
    <xf numFmtId="0" fontId="9" fillId="12" borderId="13">
      <alignment horizontal="center" vertical="center" wrapText="1"/>
    </xf>
    <xf numFmtId="168" fontId="9" fillId="6" borderId="13">
      <alignment horizontal="right" vertical="center" wrapText="1"/>
    </xf>
    <xf numFmtId="0" fontId="12" fillId="8" borderId="0" applyBorder="0">
      <alignment horizontal="left" vertical="center" wrapText="1"/>
    </xf>
    <xf numFmtId="0" fontId="18" fillId="8" borderId="0" applyBorder="0">
      <alignment vertical="center" wrapText="1"/>
    </xf>
    <xf numFmtId="3" fontId="9" fillId="7" borderId="13">
      <alignment horizontal="right" vertical="center" wrapText="1"/>
      <protection locked="0"/>
    </xf>
    <xf numFmtId="0" fontId="9" fillId="6" borderId="13">
      <alignment horizontal="right" vertical="center" wrapText="1"/>
    </xf>
    <xf numFmtId="0" fontId="7" fillId="0" borderId="0" applyFill="0" applyBorder="0">
      <alignment vertical="center"/>
    </xf>
    <xf numFmtId="0" fontId="7" fillId="0" borderId="0" applyFill="0" applyBorder="0">
      <alignment horizontal="center" vertical="center"/>
    </xf>
    <xf numFmtId="0" fontId="13" fillId="0" borderId="0" applyFill="0" applyBorder="0">
      <alignment horizontal="left" vertical="center" wrapText="1"/>
    </xf>
    <xf numFmtId="49" fontId="19" fillId="0" borderId="11" applyFill="0">
      <alignment vertical="center" wrapText="1"/>
    </xf>
    <xf numFmtId="49" fontId="9" fillId="12" borderId="23">
      <alignment horizontal="center" vertical="center" wrapText="1"/>
    </xf>
    <xf numFmtId="49" fontId="9" fillId="12" borderId="27">
      <alignment horizontal="center" vertical="center" wrapText="1"/>
    </xf>
    <xf numFmtId="49" fontId="9" fillId="0" borderId="28" applyFill="0">
      <alignment horizontal="center" vertical="center" wrapText="1"/>
    </xf>
    <xf numFmtId="0" fontId="20" fillId="0" borderId="0" applyFill="0" applyBorder="0">
      <alignment horizontal="center" vertical="center" wrapText="1"/>
    </xf>
    <xf numFmtId="0" fontId="20" fillId="8" borderId="0" applyBorder="0">
      <alignment horizontal="center" vertical="center" wrapText="1"/>
    </xf>
    <xf numFmtId="49" fontId="9" fillId="4" borderId="13">
      <alignment horizontal="left" vertical="center" wrapText="1"/>
      <protection locked="0"/>
    </xf>
    <xf numFmtId="0" fontId="9" fillId="4" borderId="13">
      <alignment horizontal="center" vertical="center" wrapText="1"/>
      <protection locked="0"/>
    </xf>
    <xf numFmtId="1" fontId="9" fillId="4" borderId="21">
      <alignment horizontal="right" vertical="center" wrapText="1"/>
      <protection locked="0"/>
    </xf>
    <xf numFmtId="0" fontId="9" fillId="7" borderId="22">
      <alignment horizontal="center" vertical="center" wrapText="1"/>
      <protection locked="0"/>
    </xf>
    <xf numFmtId="165" fontId="9" fillId="7" borderId="13">
      <alignment horizontal="right" vertical="center" wrapText="1"/>
      <protection locked="0"/>
    </xf>
    <xf numFmtId="4" fontId="9" fillId="7" borderId="13">
      <alignment horizontal="right" vertical="center" wrapText="1"/>
      <protection locked="0"/>
    </xf>
    <xf numFmtId="49" fontId="9" fillId="4" borderId="13">
      <alignment horizontal="right" vertical="center" wrapText="1"/>
      <protection locked="0"/>
    </xf>
    <xf numFmtId="0" fontId="21" fillId="0" borderId="0" applyFill="0" applyBorder="0">
      <alignment horizontal="left" vertical="center" wrapText="1"/>
    </xf>
    <xf numFmtId="0" fontId="9" fillId="4" borderId="22">
      <alignment horizontal="center" vertical="center" wrapText="1"/>
      <protection locked="0"/>
    </xf>
    <xf numFmtId="165" fontId="9" fillId="4" borderId="13">
      <alignment horizontal="right" vertical="center" wrapText="1"/>
      <protection locked="0"/>
    </xf>
    <xf numFmtId="49" fontId="22" fillId="13" borderId="29">
      <alignment horizontal="right" vertical="center" wrapText="1"/>
    </xf>
    <xf numFmtId="49" fontId="16" fillId="13" borderId="30">
      <alignment horizontal="left" vertical="center" wrapText="1"/>
    </xf>
    <xf numFmtId="49" fontId="9" fillId="13" borderId="30">
      <alignment horizontal="right" vertical="center" wrapText="1"/>
    </xf>
    <xf numFmtId="49" fontId="9" fillId="13" borderId="30">
      <alignment horizontal="left" vertical="center" wrapText="1"/>
    </xf>
    <xf numFmtId="49" fontId="9" fillId="13" borderId="31">
      <alignment horizontal="right" vertical="center" wrapText="1"/>
    </xf>
    <xf numFmtId="49" fontId="9" fillId="13" borderId="21">
      <alignment horizontal="right" vertical="center" wrapText="1"/>
    </xf>
    <xf numFmtId="0" fontId="9" fillId="0" borderId="21" applyFill="0">
      <alignment horizontal="left" vertical="center" wrapText="1"/>
    </xf>
    <xf numFmtId="0" fontId="9" fillId="0" borderId="22" applyFill="0">
      <alignment horizontal="left" vertical="center" wrapText="1"/>
    </xf>
    <xf numFmtId="0" fontId="9" fillId="12" borderId="11">
      <alignment horizontal="center" vertical="center" wrapText="1"/>
    </xf>
    <xf numFmtId="0" fontId="12" fillId="0" borderId="13" applyFill="0">
      <alignment horizontal="center" vertical="center" wrapText="1"/>
    </xf>
    <xf numFmtId="0" fontId="9" fillId="0" borderId="27" applyFill="0">
      <alignment horizontal="center" vertical="center" wrapText="1"/>
    </xf>
    <xf numFmtId="0" fontId="9" fillId="0" borderId="26" applyFill="0">
      <alignment horizontal="center" vertical="center" wrapText="1"/>
    </xf>
    <xf numFmtId="0" fontId="9" fillId="12" borderId="27">
      <alignment horizontal="center" vertical="center" wrapText="1"/>
    </xf>
    <xf numFmtId="0" fontId="9" fillId="12" borderId="24">
      <alignment horizontal="center" vertical="center" wrapText="1"/>
    </xf>
    <xf numFmtId="0" fontId="9" fillId="12" borderId="26">
      <alignment horizontal="center" vertical="center" wrapText="1"/>
    </xf>
    <xf numFmtId="0" fontId="9" fillId="0" borderId="22" applyFill="0">
      <alignment horizontal="center" vertical="center" wrapText="1"/>
    </xf>
    <xf numFmtId="0" fontId="9" fillId="0" borderId="32" applyFill="0">
      <alignment horizontal="center" vertical="center" wrapText="1"/>
    </xf>
    <xf numFmtId="0" fontId="9" fillId="12" borderId="22">
      <alignment horizontal="center" vertical="center" wrapText="1"/>
    </xf>
    <xf numFmtId="0" fontId="9" fillId="12" borderId="25">
      <alignment horizontal="center" vertical="center" wrapText="1"/>
    </xf>
    <xf numFmtId="0" fontId="9" fillId="12" borderId="32">
      <alignment horizontal="center" vertical="center" wrapText="1"/>
    </xf>
    <xf numFmtId="0" fontId="12" fillId="0" borderId="25" applyFill="0">
      <alignment horizontal="center" vertical="center" wrapText="1"/>
    </xf>
    <xf numFmtId="49" fontId="9" fillId="0" borderId="26" applyFill="0">
      <alignment horizontal="center" vertical="center" wrapText="1"/>
    </xf>
    <xf numFmtId="49" fontId="9" fillId="0" borderId="24" applyFill="0">
      <alignment horizontal="left" vertical="center" wrapText="1"/>
    </xf>
    <xf numFmtId="3" fontId="9" fillId="6" borderId="26">
      <alignment horizontal="right" vertical="center" wrapText="1"/>
    </xf>
    <xf numFmtId="0" fontId="7" fillId="7" borderId="21">
      <alignment vertical="center" wrapText="1"/>
      <protection locked="0"/>
    </xf>
    <xf numFmtId="0" fontId="8" fillId="0" borderId="13" applyFill="0">
      <alignment horizontal="center" vertical="center" wrapText="1"/>
    </xf>
    <xf numFmtId="0" fontId="9" fillId="8" borderId="23">
      <alignment vertical="center" wrapText="1"/>
    </xf>
    <xf numFmtId="167" fontId="11" fillId="8" borderId="0" applyBorder="0">
      <alignment horizontal="center" vertical="center" wrapText="1"/>
    </xf>
    <xf numFmtId="0" fontId="12" fillId="0" borderId="13" applyFill="0">
      <alignment horizontal="right" vertical="center" wrapText="1"/>
    </xf>
    <xf numFmtId="0" fontId="12" fillId="0" borderId="24" applyFill="0">
      <alignment horizontal="right" vertical="center" wrapText="1"/>
    </xf>
    <xf numFmtId="166" fontId="12" fillId="6" borderId="24">
      <alignment horizontal="right" vertical="center" wrapText="1"/>
    </xf>
    <xf numFmtId="49" fontId="9" fillId="0" borderId="16" applyFill="0">
      <alignment vertical="center" wrapText="1"/>
    </xf>
    <xf numFmtId="0" fontId="9" fillId="0" borderId="19" applyFill="0">
      <alignment vertical="center" wrapText="1"/>
    </xf>
    <xf numFmtId="0" fontId="19" fillId="0" borderId="0" applyFill="0" applyBorder="0">
      <alignment vertical="center" wrapText="1"/>
    </xf>
    <xf numFmtId="49" fontId="9" fillId="14" borderId="13">
      <alignment horizontal="center" vertical="center"/>
    </xf>
    <xf numFmtId="0" fontId="9" fillId="15" borderId="13">
      <alignment horizontal="left" vertical="center"/>
    </xf>
    <xf numFmtId="0" fontId="23" fillId="16" borderId="17">
      <alignment horizontal="left" vertical="center" wrapText="1"/>
    </xf>
    <xf numFmtId="49" fontId="21" fillId="17" borderId="13">
      <alignment horizontal="left" vertical="center" wrapText="1"/>
    </xf>
    <xf numFmtId="0" fontId="9" fillId="18" borderId="13">
      <alignment vertical="center"/>
    </xf>
    <xf numFmtId="166" fontId="9" fillId="4" borderId="13">
      <alignment horizontal="right" vertical="center" wrapText="1"/>
      <protection locked="0"/>
    </xf>
    <xf numFmtId="168" fontId="9" fillId="4" borderId="13">
      <alignment horizontal="right" vertical="center" wrapText="1"/>
      <protection locked="0"/>
    </xf>
    <xf numFmtId="49" fontId="9" fillId="0" borderId="25" applyFill="0">
      <alignment horizontal="left" vertical="center" wrapText="1"/>
    </xf>
    <xf numFmtId="166" fontId="7" fillId="4" borderId="13">
      <alignment horizontal="right" vertical="center" wrapText="1"/>
      <protection locked="0"/>
    </xf>
    <xf numFmtId="1" fontId="9" fillId="6" borderId="13">
      <alignment horizontal="right" vertical="center" wrapText="1"/>
    </xf>
    <xf numFmtId="9" fontId="9" fillId="6" borderId="13">
      <alignment horizontal="right" vertical="center" wrapText="1"/>
    </xf>
    <xf numFmtId="0" fontId="9" fillId="0" borderId="21" applyFill="0">
      <alignment horizontal="center" vertical="center" wrapText="1"/>
    </xf>
    <xf numFmtId="3" fontId="9" fillId="4" borderId="22">
      <alignment horizontal="center" vertical="center" wrapText="1"/>
      <protection locked="0"/>
    </xf>
    <xf numFmtId="3" fontId="9" fillId="4" borderId="13">
      <alignment horizontal="left" vertical="center" wrapText="1"/>
      <protection locked="0"/>
    </xf>
    <xf numFmtId="170" fontId="9" fillId="6" borderId="13">
      <alignment horizontal="right" vertical="center" wrapText="1"/>
    </xf>
    <xf numFmtId="166" fontId="9" fillId="7" borderId="13">
      <alignment horizontal="right" vertical="center" wrapText="1"/>
      <protection locked="0"/>
    </xf>
    <xf numFmtId="49" fontId="9" fillId="7" borderId="13">
      <alignment horizontal="left" vertical="center" wrapText="1"/>
      <protection locked="0"/>
    </xf>
    <xf numFmtId="10" fontId="9" fillId="6" borderId="13">
      <alignment horizontal="right" vertical="center" wrapText="1"/>
    </xf>
    <xf numFmtId="0" fontId="19" fillId="0" borderId="11" applyFill="0">
      <alignment horizontal="left" vertical="center" wrapText="1"/>
    </xf>
    <xf numFmtId="49" fontId="9" fillId="0" borderId="21" applyFill="0">
      <alignment horizontal="center" vertical="center" wrapText="1"/>
    </xf>
    <xf numFmtId="49" fontId="9" fillId="19" borderId="21">
      <alignment horizontal="center" vertical="center" wrapText="1"/>
    </xf>
    <xf numFmtId="49" fontId="9" fillId="19" borderId="11">
      <alignment horizontal="center" vertical="center" wrapText="1"/>
    </xf>
    <xf numFmtId="49" fontId="9" fillId="19" borderId="22">
      <alignment horizontal="center" vertical="center" wrapText="1"/>
    </xf>
    <xf numFmtId="49" fontId="9" fillId="0" borderId="22" applyFill="0">
      <alignment horizontal="center" vertical="center" wrapText="1"/>
    </xf>
    <xf numFmtId="49" fontId="9" fillId="19" borderId="13">
      <alignment horizontal="center" vertical="center" wrapText="1"/>
    </xf>
    <xf numFmtId="0" fontId="24" fillId="0" borderId="0" applyFill="0" applyBorder="0">
      <alignment horizontal="center" vertical="center" wrapText="1"/>
    </xf>
    <xf numFmtId="0" fontId="9" fillId="0" borderId="13" applyFill="0">
      <alignment horizontal="right" vertical="center" wrapText="1"/>
    </xf>
    <xf numFmtId="49" fontId="25" fillId="8" borderId="0" applyBorder="0">
      <alignment horizontal="left" vertical="center" wrapText="1"/>
    </xf>
    <xf numFmtId="49" fontId="9" fillId="8" borderId="0" applyBorder="0">
      <alignment vertical="center" wrapText="1"/>
    </xf>
    <xf numFmtId="49" fontId="12" fillId="6" borderId="25">
      <alignment vertical="center" wrapText="1"/>
    </xf>
    <xf numFmtId="49" fontId="26" fillId="20" borderId="0" applyBorder="0">
      <alignment horizontal="center" vertical="center" wrapText="1"/>
      <protection locked="0"/>
    </xf>
    <xf numFmtId="0" fontId="12" fillId="14" borderId="13">
      <alignment horizontal="left" vertical="center" wrapText="1"/>
    </xf>
    <xf numFmtId="0" fontId="12" fillId="14" borderId="13">
      <alignment horizontal="left" wrapText="1"/>
    </xf>
    <xf numFmtId="49" fontId="10" fillId="21" borderId="0" applyBorder="0">
      <alignment horizontal="center" vertical="top" wrapText="1"/>
    </xf>
    <xf numFmtId="0" fontId="12" fillId="14" borderId="13">
      <alignment horizontal="center" wrapText="1"/>
    </xf>
    <xf numFmtId="49" fontId="12" fillId="14" borderId="13">
      <alignment horizontal="center" vertical="center" wrapText="1"/>
    </xf>
    <xf numFmtId="0" fontId="21" fillId="14" borderId="0" applyBorder="0">
      <alignment horizontal="center" vertical="center" wrapText="1"/>
    </xf>
    <xf numFmtId="49" fontId="23" fillId="4" borderId="13">
      <alignment horizontal="right" vertical="center" wrapText="1"/>
      <protection locked="0"/>
    </xf>
    <xf numFmtId="49" fontId="23" fillId="4" borderId="13">
      <alignment horizontal="center" vertical="center" wrapText="1"/>
      <protection locked="0"/>
    </xf>
    <xf numFmtId="0" fontId="9" fillId="0" borderId="0" applyFill="0" applyBorder="0">
      <alignment horizontal="left" wrapText="1"/>
    </xf>
    <xf numFmtId="0" fontId="5" fillId="0" borderId="0" applyFill="0" applyBorder="0">
      <alignment horizontal="left" wrapText="1"/>
    </xf>
    <xf numFmtId="0" fontId="9" fillId="22" borderId="0" applyBorder="0">
      <alignment horizontal="left" wrapText="1"/>
    </xf>
    <xf numFmtId="49" fontId="9" fillId="0" borderId="0" applyFill="0" applyBorder="0">
      <alignment horizontal="left" wrapText="1"/>
    </xf>
    <xf numFmtId="49" fontId="9" fillId="0" borderId="0" applyFill="0" applyBorder="0">
      <alignment vertical="top" wrapText="1"/>
    </xf>
    <xf numFmtId="0" fontId="9" fillId="0" borderId="0" applyFill="0" applyBorder="0">
      <alignment wrapText="1"/>
    </xf>
    <xf numFmtId="49" fontId="9" fillId="22" borderId="0" applyBorder="0">
      <alignment horizontal="right" wrapText="1"/>
    </xf>
    <xf numFmtId="49" fontId="9" fillId="0" borderId="13" applyFill="0">
      <alignment vertical="top" wrapText="1"/>
    </xf>
    <xf numFmtId="49" fontId="26" fillId="20" borderId="33">
      <alignment horizontal="center" vertical="center" wrapText="1"/>
      <protection locked="0"/>
    </xf>
    <xf numFmtId="49" fontId="26" fillId="21" borderId="26">
      <alignment horizontal="center" vertical="top" wrapText="1"/>
    </xf>
    <xf numFmtId="49" fontId="26" fillId="21" borderId="13">
      <alignment horizontal="center" vertical="top" wrapText="1"/>
    </xf>
    <xf numFmtId="0" fontId="23" fillId="4" borderId="13">
      <alignment horizontal="center" vertical="center" wrapText="1"/>
      <protection locked="0"/>
    </xf>
    <xf numFmtId="0" fontId="10" fillId="21" borderId="0" applyBorder="0">
      <alignment horizontal="left" wrapText="1"/>
    </xf>
    <xf numFmtId="49" fontId="12" fillId="14" borderId="0" applyBorder="0">
      <alignment vertical="center" wrapText="1"/>
    </xf>
    <xf numFmtId="49" fontId="27" fillId="0" borderId="5" applyFill="0">
      <alignment horizontal="right" vertical="center" wrapText="1"/>
    </xf>
    <xf numFmtId="49" fontId="9" fillId="7" borderId="13">
      <alignment horizontal="right" vertical="center" wrapText="1"/>
      <protection locked="0"/>
    </xf>
    <xf numFmtId="0" fontId="21" fillId="0" borderId="0" applyFill="0" applyBorder="0">
      <alignment horizontal="left" wrapText="1"/>
    </xf>
    <xf numFmtId="49" fontId="28" fillId="4" borderId="17">
      <alignment horizontal="center" vertical="center" wrapText="1"/>
      <protection locked="0"/>
    </xf>
  </cellStyleXfs>
  <cellXfs count="342">
    <xf numFmtId="0" fontId="0" fillId="0" borderId="0" xfId="0" applyFont="1">
      <alignment vertical="top"/>
    </xf>
    <xf numFmtId="0" fontId="1" fillId="0" borderId="0" xfId="1" applyFont="1">
      <alignment vertical="top" wrapText="1"/>
    </xf>
    <xf numFmtId="49" fontId="2" fillId="0" borderId="0" xfId="2" applyNumberFormat="1" applyFont="1">
      <alignment vertical="top" wrapText="1"/>
    </xf>
    <xf numFmtId="49" fontId="3" fillId="0" borderId="0" xfId="3" applyNumberFormat="1" applyFont="1">
      <alignment wrapText="1"/>
    </xf>
    <xf numFmtId="0" fontId="6" fillId="0" borderId="4" xfId="10" applyFont="1" applyBorder="1">
      <alignment wrapText="1"/>
    </xf>
    <xf numFmtId="0" fontId="7" fillId="4" borderId="6" xfId="11" applyFont="1" applyFill="1" applyBorder="1">
      <alignment horizontal="center" vertical="center" wrapText="1"/>
      <protection locked="0"/>
    </xf>
    <xf numFmtId="0" fontId="7" fillId="5" borderId="6" xfId="13" applyFont="1" applyFill="1" applyBorder="1">
      <alignment horizontal="center" vertical="center" wrapText="1"/>
    </xf>
    <xf numFmtId="0" fontId="7" fillId="6" borderId="6" xfId="15" applyFont="1" applyFill="1" applyBorder="1">
      <alignment horizontal="center" vertical="center" wrapText="1"/>
    </xf>
    <xf numFmtId="0" fontId="7" fillId="7" borderId="6" xfId="16" applyFont="1" applyFill="1" applyBorder="1">
      <alignment horizontal="center" vertical="center" wrapText="1"/>
      <protection locked="0"/>
    </xf>
    <xf numFmtId="0" fontId="8" fillId="0" borderId="4" xfId="18" applyFont="1" applyBorder="1">
      <alignment horizontal="left" vertical="center" wrapText="1"/>
    </xf>
    <xf numFmtId="0" fontId="8" fillId="0" borderId="7" xfId="19" applyFont="1" applyBorder="1">
      <alignment horizontal="left" vertical="center" wrapText="1"/>
    </xf>
    <xf numFmtId="0" fontId="1" fillId="0" borderId="4" xfId="22" applyFont="1" applyBorder="1">
      <alignment wrapText="1"/>
    </xf>
    <xf numFmtId="0" fontId="6" fillId="0" borderId="9" xfId="26" applyFont="1" applyBorder="1">
      <alignment wrapText="1"/>
    </xf>
    <xf numFmtId="0" fontId="6" fillId="0" borderId="10" xfId="27" applyFont="1" applyBorder="1">
      <alignment wrapText="1"/>
    </xf>
    <xf numFmtId="0" fontId="6" fillId="0" borderId="10" xfId="28" applyFont="1" applyBorder="1">
      <alignment vertical="center" wrapText="1"/>
    </xf>
    <xf numFmtId="0" fontId="9" fillId="8" borderId="0" xfId="29" applyFont="1" applyFill="1">
      <alignment horizontal="right" vertical="center" wrapText="1"/>
    </xf>
    <xf numFmtId="0" fontId="9" fillId="8" borderId="0" xfId="30" applyFont="1" applyFill="1">
      <alignment vertical="center" wrapText="1"/>
    </xf>
    <xf numFmtId="0" fontId="10" fillId="0" borderId="0" xfId="31" applyFont="1">
      <alignment vertical="center" wrapText="1"/>
    </xf>
    <xf numFmtId="0" fontId="7" fillId="0" borderId="0" xfId="32" applyFont="1">
      <alignment vertical="center" wrapText="1"/>
    </xf>
    <xf numFmtId="0" fontId="0" fillId="0" borderId="0" xfId="33" applyFont="1">
      <alignment vertical="top"/>
    </xf>
    <xf numFmtId="0" fontId="9" fillId="0" borderId="11" xfId="34" applyFont="1" applyBorder="1">
      <alignment horizontal="left" vertical="center" wrapText="1"/>
    </xf>
    <xf numFmtId="164" fontId="9" fillId="8" borderId="0" xfId="36" applyNumberFormat="1" applyFont="1" applyFill="1">
      <alignment vertical="center" wrapText="1"/>
    </xf>
    <xf numFmtId="49" fontId="9" fillId="8" borderId="0" xfId="38" applyNumberFormat="1" applyFont="1" applyFill="1">
      <alignment horizontal="right" vertical="center" wrapText="1"/>
    </xf>
    <xf numFmtId="0" fontId="9" fillId="6" borderId="13" xfId="39" applyFont="1" applyFill="1" applyBorder="1">
      <alignment horizontal="center" vertical="center" wrapText="1"/>
    </xf>
    <xf numFmtId="49" fontId="9" fillId="7" borderId="13" xfId="40" applyNumberFormat="1" applyFont="1" applyFill="1" applyBorder="1">
      <alignment horizontal="center" vertical="center" wrapText="1"/>
      <protection locked="0"/>
    </xf>
    <xf numFmtId="49" fontId="11" fillId="8" borderId="0" xfId="42" applyNumberFormat="1" applyFont="1" applyFill="1">
      <alignment horizontal="right" vertical="center" wrapText="1"/>
    </xf>
    <xf numFmtId="49" fontId="9" fillId="6" borderId="13" xfId="43" applyNumberFormat="1" applyFont="1" applyFill="1" applyBorder="1">
      <alignment horizontal="center" vertical="center" wrapText="1"/>
    </xf>
    <xf numFmtId="0" fontId="9" fillId="0" borderId="0" xfId="44" applyFont="1">
      <alignment horizontal="right" vertical="center" wrapText="1"/>
    </xf>
    <xf numFmtId="49" fontId="9" fillId="0" borderId="0" xfId="46" applyNumberFormat="1" applyFont="1">
      <alignment horizontal="center" vertical="center" wrapText="1"/>
    </xf>
    <xf numFmtId="0" fontId="9" fillId="8" borderId="0" xfId="47" applyFont="1" applyFill="1">
      <alignment horizontal="center" vertical="center" wrapText="1"/>
    </xf>
    <xf numFmtId="49" fontId="9" fillId="4" borderId="13" xfId="48" applyNumberFormat="1" applyFont="1" applyFill="1" applyBorder="1">
      <alignment horizontal="center" vertical="center" wrapText="1"/>
      <protection locked="0"/>
    </xf>
    <xf numFmtId="0" fontId="9" fillId="0" borderId="0" xfId="49" applyFont="1">
      <alignment horizontal="center" vertical="center" wrapText="1"/>
    </xf>
    <xf numFmtId="0" fontId="5" fillId="9" borderId="15" xfId="51" applyFont="1" applyFill="1" applyBorder="1">
      <alignment vertical="center" wrapText="1"/>
    </xf>
    <xf numFmtId="49" fontId="9" fillId="8" borderId="0" xfId="55" applyNumberFormat="1" applyFont="1" applyFill="1">
      <alignment horizontal="center" vertical="center" wrapText="1"/>
    </xf>
    <xf numFmtId="49" fontId="7" fillId="10" borderId="17" xfId="56" applyNumberFormat="1" applyFont="1" applyFill="1" applyBorder="1">
      <alignment horizontal="center" vertical="center" wrapText="1"/>
    </xf>
    <xf numFmtId="49" fontId="9" fillId="10" borderId="17" xfId="57" applyNumberFormat="1" applyFont="1" applyFill="1" applyBorder="1">
      <alignment horizontal="center" vertical="center" wrapText="1"/>
    </xf>
    <xf numFmtId="49" fontId="14" fillId="0" borderId="18" xfId="58" applyNumberFormat="1" applyFont="1" applyBorder="1">
      <alignment horizontal="center" vertical="center" wrapText="1"/>
    </xf>
    <xf numFmtId="0" fontId="12" fillId="0" borderId="19" xfId="59" applyFont="1" applyBorder="1">
      <alignment vertical="center" wrapText="1"/>
    </xf>
    <xf numFmtId="49" fontId="9" fillId="0" borderId="19" xfId="60" applyNumberFormat="1" applyFont="1" applyBorder="1">
      <alignment vertical="center" wrapText="1"/>
    </xf>
    <xf numFmtId="49" fontId="7" fillId="0" borderId="20" xfId="61" applyNumberFormat="1" applyFont="1" applyBorder="1">
      <alignment vertical="center" wrapText="1"/>
    </xf>
    <xf numFmtId="0" fontId="9" fillId="0" borderId="0" xfId="62" applyFont="1">
      <alignment vertical="center" wrapText="1"/>
    </xf>
    <xf numFmtId="49" fontId="15" fillId="0" borderId="5" xfId="63" applyNumberFormat="1" applyFont="1" applyBorder="1">
      <alignment horizontal="right" vertical="center" wrapText="1"/>
    </xf>
    <xf numFmtId="0" fontId="9" fillId="0" borderId="17" xfId="64" applyFont="1" applyBorder="1">
      <alignment horizontal="center" vertical="center" wrapText="1"/>
    </xf>
    <xf numFmtId="49" fontId="9" fillId="8" borderId="17" xfId="65" applyNumberFormat="1" applyFont="1" applyFill="1" applyBorder="1">
      <alignment horizontal="left" vertical="center" wrapText="1"/>
    </xf>
    <xf numFmtId="0" fontId="9" fillId="7" borderId="17" xfId="66" applyFont="1" applyFill="1" applyBorder="1">
      <alignment horizontal="center" vertical="center" wrapText="1"/>
      <protection locked="0"/>
    </xf>
    <xf numFmtId="49" fontId="15" fillId="0" borderId="5" xfId="69" applyNumberFormat="1" applyFont="1" applyBorder="1">
      <alignment horizontal="center" vertical="center" wrapText="1"/>
    </xf>
    <xf numFmtId="49" fontId="9" fillId="7" borderId="17" xfId="70" applyNumberFormat="1" applyFont="1" applyFill="1" applyBorder="1">
      <alignment horizontal="left" vertical="center" wrapText="1"/>
      <protection locked="0"/>
    </xf>
    <xf numFmtId="49" fontId="16" fillId="11" borderId="21" xfId="71" applyNumberFormat="1" applyFont="1" applyFill="1" applyBorder="1">
      <alignment horizontal="left" vertical="center" wrapText="1"/>
    </xf>
    <xf numFmtId="49" fontId="16" fillId="11" borderId="11" xfId="72" applyNumberFormat="1" applyFont="1" applyFill="1" applyBorder="1">
      <alignment horizontal="left" vertical="center" wrapText="1"/>
    </xf>
    <xf numFmtId="49" fontId="16" fillId="11" borderId="22" xfId="73" applyNumberFormat="1" applyFont="1" applyFill="1" applyBorder="1">
      <alignment horizontal="left" vertical="center" wrapText="1"/>
    </xf>
    <xf numFmtId="167" fontId="9" fillId="8" borderId="0" xfId="76" applyNumberFormat="1" applyFont="1" applyFill="1">
      <alignment vertical="center" wrapText="1"/>
    </xf>
    <xf numFmtId="167" fontId="9" fillId="8" borderId="0" xfId="77" applyNumberFormat="1" applyFont="1" applyFill="1">
      <alignment horizontal="center" vertical="center" wrapText="1"/>
    </xf>
    <xf numFmtId="49" fontId="9" fillId="0" borderId="23" xfId="79" applyNumberFormat="1" applyFont="1" applyBorder="1">
      <alignment vertical="center" wrapText="1"/>
    </xf>
    <xf numFmtId="1" fontId="9" fillId="0" borderId="11" xfId="80" applyNumberFormat="1" applyFont="1" applyBorder="1">
      <alignment vertical="center" wrapText="1"/>
    </xf>
    <xf numFmtId="0" fontId="9" fillId="0" borderId="11" xfId="81" applyFont="1" applyBorder="1">
      <alignment vertical="center" wrapText="1"/>
    </xf>
    <xf numFmtId="49" fontId="9" fillId="0" borderId="13" xfId="82" applyNumberFormat="1" applyFont="1" applyBorder="1">
      <alignment horizontal="center" vertical="center" wrapText="1"/>
    </xf>
    <xf numFmtId="0" fontId="9" fillId="0" borderId="24" xfId="85" applyFont="1" applyBorder="1">
      <alignment horizontal="center" vertical="center" wrapText="1"/>
    </xf>
    <xf numFmtId="49" fontId="9" fillId="0" borderId="25" xfId="87" applyNumberFormat="1" applyFont="1" applyBorder="1">
      <alignment horizontal="center" vertical="center" wrapText="1"/>
    </xf>
    <xf numFmtId="167" fontId="9" fillId="0" borderId="25" xfId="88" applyNumberFormat="1" applyFont="1" applyBorder="1">
      <alignment horizontal="center" vertical="center" wrapText="1"/>
    </xf>
    <xf numFmtId="0" fontId="9" fillId="0" borderId="25" xfId="89" applyFont="1" applyBorder="1">
      <alignment horizontal="center" vertical="center" wrapText="1"/>
    </xf>
    <xf numFmtId="49" fontId="9" fillId="0" borderId="11" xfId="91" applyNumberFormat="1" applyFont="1" applyBorder="1">
      <alignment horizontal="center" vertical="center" wrapText="1"/>
    </xf>
    <xf numFmtId="3" fontId="9" fillId="0" borderId="11" xfId="92" applyNumberFormat="1" applyFont="1" applyBorder="1">
      <alignment horizontal="center" vertical="center" wrapText="1"/>
    </xf>
    <xf numFmtId="0" fontId="9" fillId="0" borderId="11" xfId="93" applyFont="1" applyBorder="1">
      <alignment horizontal="center" vertical="center" wrapText="1"/>
    </xf>
    <xf numFmtId="3" fontId="9" fillId="0" borderId="11" xfId="94" applyNumberFormat="1" applyFont="1" applyBorder="1">
      <alignment horizontal="right" vertical="center" wrapText="1"/>
    </xf>
    <xf numFmtId="49" fontId="9" fillId="5" borderId="26" xfId="95" applyNumberFormat="1" applyFont="1" applyFill="1" applyBorder="1">
      <alignment horizontal="center" vertical="center" wrapText="1"/>
    </xf>
    <xf numFmtId="49" fontId="9" fillId="5" borderId="24" xfId="96" applyNumberFormat="1" applyFont="1" applyFill="1" applyBorder="1">
      <alignment vertical="center" wrapText="1"/>
    </xf>
    <xf numFmtId="166" fontId="9" fillId="0" borderId="24" xfId="97" applyNumberFormat="1" applyFont="1" applyBorder="1">
      <alignment horizontal="right" vertical="center" wrapText="1"/>
    </xf>
    <xf numFmtId="166" fontId="9" fillId="6" borderId="24" xfId="98" applyNumberFormat="1" applyFont="1" applyFill="1" applyBorder="1">
      <alignment horizontal="right" vertical="center" wrapText="1"/>
    </xf>
    <xf numFmtId="49" fontId="9" fillId="5" borderId="13" xfId="99" applyNumberFormat="1" applyFont="1" applyFill="1" applyBorder="1">
      <alignment horizontal="center" vertical="center" wrapText="1"/>
    </xf>
    <xf numFmtId="166" fontId="9" fillId="0" borderId="13" xfId="100" applyNumberFormat="1" applyFont="1" applyBorder="1">
      <alignment horizontal="right" vertical="center" wrapText="1"/>
    </xf>
    <xf numFmtId="0" fontId="9" fillId="0" borderId="13" xfId="101" applyFont="1" applyBorder="1">
      <alignment horizontal="center" vertical="center" wrapText="1"/>
    </xf>
    <xf numFmtId="3" fontId="9" fillId="0" borderId="13" xfId="102" applyNumberFormat="1" applyFont="1" applyBorder="1">
      <alignment horizontal="right" vertical="center" wrapText="1"/>
    </xf>
    <xf numFmtId="49" fontId="9" fillId="0" borderId="13" xfId="103" applyNumberFormat="1" applyFont="1" applyBorder="1">
      <alignment horizontal="left" vertical="center" wrapText="1"/>
    </xf>
    <xf numFmtId="10" fontId="9" fillId="4" borderId="13" xfId="104" applyNumberFormat="1" applyFont="1" applyFill="1" applyBorder="1">
      <alignment horizontal="right" vertical="center" wrapText="1"/>
      <protection locked="0"/>
    </xf>
    <xf numFmtId="3" fontId="9" fillId="6" borderId="13" xfId="105" applyNumberFormat="1" applyFont="1" applyFill="1" applyBorder="1">
      <alignment horizontal="right" vertical="center" wrapText="1"/>
    </xf>
    <xf numFmtId="3" fontId="9" fillId="4" borderId="13" xfId="106" applyNumberFormat="1" applyFont="1" applyFill="1" applyBorder="1">
      <alignment horizontal="right" vertical="center" wrapText="1"/>
      <protection locked="0"/>
    </xf>
    <xf numFmtId="2" fontId="9" fillId="0" borderId="13" xfId="107" applyNumberFormat="1" applyFont="1" applyBorder="1">
      <alignment horizontal="right" vertical="center" wrapText="1"/>
    </xf>
    <xf numFmtId="2" fontId="9" fillId="8" borderId="13" xfId="108" applyNumberFormat="1" applyFont="1" applyFill="1" applyBorder="1">
      <alignment horizontal="right" vertical="center" wrapText="1"/>
    </xf>
    <xf numFmtId="1" fontId="9" fillId="4" borderId="13" xfId="109" applyNumberFormat="1" applyFont="1" applyFill="1" applyBorder="1">
      <alignment horizontal="right" vertical="center" wrapText="1"/>
      <protection locked="0"/>
    </xf>
    <xf numFmtId="49" fontId="9" fillId="5" borderId="13" xfId="110" applyNumberFormat="1" applyFont="1" applyFill="1" applyBorder="1">
      <alignment vertical="center" wrapText="1"/>
    </xf>
    <xf numFmtId="166" fontId="9" fillId="6" borderId="13" xfId="111" applyNumberFormat="1" applyFont="1" applyFill="1" applyBorder="1">
      <alignment horizontal="right" vertical="center" wrapText="1"/>
    </xf>
    <xf numFmtId="4" fontId="9" fillId="0" borderId="13" xfId="112" applyNumberFormat="1" applyFont="1" applyBorder="1">
      <alignment horizontal="right" vertical="center" wrapText="1"/>
    </xf>
    <xf numFmtId="49" fontId="9" fillId="0" borderId="13" xfId="113" applyNumberFormat="1" applyFont="1" applyBorder="1">
      <alignment vertical="center" wrapText="1"/>
    </xf>
    <xf numFmtId="0" fontId="9" fillId="0" borderId="13" xfId="114" applyFont="1" applyBorder="1">
      <alignment horizontal="left" vertical="center" wrapText="1"/>
    </xf>
    <xf numFmtId="0" fontId="17" fillId="8" borderId="0" xfId="115" applyFont="1" applyFill="1">
      <alignment vertical="center" wrapText="1"/>
    </xf>
    <xf numFmtId="0" fontId="9" fillId="8" borderId="23" xfId="116" applyFont="1" applyFill="1" applyBorder="1">
      <alignment horizontal="left" vertical="center" wrapText="1"/>
    </xf>
    <xf numFmtId="0" fontId="9" fillId="0" borderId="12" xfId="118" applyFont="1" applyBorder="1">
      <alignment horizontal="left" vertical="center" wrapText="1"/>
    </xf>
    <xf numFmtId="0" fontId="9" fillId="0" borderId="0" xfId="119" applyFont="1">
      <alignment horizontal="left" vertical="center" wrapText="1"/>
    </xf>
    <xf numFmtId="49" fontId="18" fillId="8" borderId="0" xfId="120" applyNumberFormat="1" applyFont="1" applyFill="1">
      <alignment vertical="center" wrapText="1"/>
    </xf>
    <xf numFmtId="1" fontId="9" fillId="8" borderId="0" xfId="121" applyNumberFormat="1" applyFont="1" applyFill="1">
      <alignment horizontal="center" vertical="center" wrapText="1"/>
    </xf>
    <xf numFmtId="1" fontId="9" fillId="0" borderId="12" xfId="122" applyNumberFormat="1" applyFont="1" applyBorder="1">
      <alignment vertical="center" wrapText="1"/>
    </xf>
    <xf numFmtId="0" fontId="9" fillId="0" borderId="12" xfId="123" applyFont="1" applyBorder="1">
      <alignment vertical="center" wrapText="1"/>
    </xf>
    <xf numFmtId="0" fontId="9" fillId="5" borderId="13" xfId="128" applyFont="1" applyFill="1" applyBorder="1">
      <alignment vertical="center" wrapText="1"/>
    </xf>
    <xf numFmtId="4" fontId="9" fillId="4" borderId="13" xfId="129" applyNumberFormat="1" applyFont="1" applyFill="1" applyBorder="1">
      <alignment horizontal="right" vertical="center" wrapText="1"/>
      <protection locked="0"/>
    </xf>
    <xf numFmtId="4" fontId="9" fillId="6" borderId="13" xfId="130" applyNumberFormat="1" applyFont="1" applyFill="1" applyBorder="1">
      <alignment horizontal="right" vertical="center" wrapText="1"/>
    </xf>
    <xf numFmtId="0" fontId="9" fillId="5" borderId="13" xfId="131" applyFont="1" applyFill="1" applyBorder="1">
      <alignment horizontal="left" vertical="center" wrapText="1"/>
    </xf>
    <xf numFmtId="168" fontId="9" fillId="0" borderId="13" xfId="132" applyNumberFormat="1" applyFont="1" applyBorder="1">
      <alignment horizontal="right" vertical="center" wrapText="1"/>
    </xf>
    <xf numFmtId="0" fontId="12" fillId="8" borderId="0" xfId="133" applyFont="1" applyFill="1">
      <alignment horizontal="right" vertical="center" wrapText="1"/>
    </xf>
    <xf numFmtId="169" fontId="12" fillId="8" borderId="0" xfId="134" applyNumberFormat="1" applyFont="1" applyFill="1">
      <alignment horizontal="center" vertical="center" wrapText="1"/>
    </xf>
    <xf numFmtId="49" fontId="9" fillId="5" borderId="24" xfId="135" applyNumberFormat="1" applyFont="1" applyFill="1" applyBorder="1">
      <alignment horizontal="center" vertical="center" wrapText="1"/>
    </xf>
    <xf numFmtId="0" fontId="9" fillId="5" borderId="24" xfId="136" applyFont="1" applyFill="1" applyBorder="1">
      <alignment vertical="center" wrapText="1"/>
    </xf>
    <xf numFmtId="3" fontId="9" fillId="6" borderId="24" xfId="137" applyNumberFormat="1" applyFont="1" applyFill="1" applyBorder="1">
      <alignment horizontal="right" vertical="center" wrapText="1"/>
    </xf>
    <xf numFmtId="166" fontId="9" fillId="8" borderId="0" xfId="138" applyNumberFormat="1" applyFont="1" applyFill="1">
      <alignment horizontal="center" vertical="center" wrapText="1"/>
    </xf>
    <xf numFmtId="170" fontId="9" fillId="4" borderId="13" xfId="139" applyNumberFormat="1" applyFont="1" applyFill="1" applyBorder="1">
      <alignment horizontal="right" vertical="center" wrapText="1"/>
      <protection locked="0"/>
    </xf>
    <xf numFmtId="170" fontId="9" fillId="0" borderId="13" xfId="140" applyNumberFormat="1" applyFont="1" applyBorder="1">
      <alignment horizontal="right" vertical="center" wrapText="1"/>
    </xf>
    <xf numFmtId="169" fontId="9" fillId="0" borderId="13" xfId="141" applyNumberFormat="1" applyFont="1" applyBorder="1">
      <alignment horizontal="right" vertical="center" wrapText="1"/>
    </xf>
    <xf numFmtId="0" fontId="9" fillId="0" borderId="13" xfId="142" applyFont="1" applyBorder="1">
      <alignment vertical="center" wrapText="1"/>
    </xf>
    <xf numFmtId="49" fontId="9" fillId="0" borderId="0" xfId="143" applyNumberFormat="1" applyFont="1">
      <alignment vertical="center" wrapText="1"/>
    </xf>
    <xf numFmtId="0" fontId="18" fillId="8" borderId="0" xfId="144" applyFont="1" applyFill="1">
      <alignment horizontal="center" vertical="center" wrapText="1"/>
    </xf>
    <xf numFmtId="0" fontId="12" fillId="8" borderId="0" xfId="145" applyFont="1" applyFill="1">
      <alignment horizontal="center" vertical="center" wrapText="1"/>
    </xf>
    <xf numFmtId="0" fontId="9" fillId="12" borderId="13" xfId="146" applyFont="1" applyFill="1" applyBorder="1">
      <alignment horizontal="center" vertical="center" wrapText="1"/>
    </xf>
    <xf numFmtId="168" fontId="9" fillId="6" borderId="13" xfId="147" applyNumberFormat="1" applyFont="1" applyFill="1" applyBorder="1">
      <alignment horizontal="right" vertical="center" wrapText="1"/>
    </xf>
    <xf numFmtId="0" fontId="12" fillId="8" borderId="0" xfId="148" applyFont="1" applyFill="1">
      <alignment horizontal="left" vertical="center" wrapText="1"/>
    </xf>
    <xf numFmtId="0" fontId="18" fillId="8" borderId="0" xfId="149" applyFont="1" applyFill="1">
      <alignment vertical="center" wrapText="1"/>
    </xf>
    <xf numFmtId="3" fontId="9" fillId="7" borderId="13" xfId="150" applyNumberFormat="1" applyFont="1" applyFill="1" applyBorder="1">
      <alignment horizontal="right" vertical="center" wrapText="1"/>
      <protection locked="0"/>
    </xf>
    <xf numFmtId="0" fontId="9" fillId="6" borderId="13" xfId="151" applyFont="1" applyFill="1" applyBorder="1">
      <alignment horizontal="right" vertical="center" wrapText="1"/>
    </xf>
    <xf numFmtId="0" fontId="7" fillId="0" borderId="0" xfId="152" applyFont="1">
      <alignment vertical="center"/>
    </xf>
    <xf numFmtId="0" fontId="7" fillId="0" borderId="0" xfId="153" applyFont="1">
      <alignment horizontal="center" vertical="center"/>
    </xf>
    <xf numFmtId="49" fontId="19" fillId="0" borderId="11" xfId="155" applyNumberFormat="1" applyFont="1" applyBorder="1">
      <alignment vertical="center" wrapText="1"/>
    </xf>
    <xf numFmtId="49" fontId="9" fillId="12" borderId="23" xfId="156" applyNumberFormat="1" applyFont="1" applyFill="1" applyBorder="1">
      <alignment horizontal="center" vertical="center" wrapText="1"/>
    </xf>
    <xf numFmtId="0" fontId="20" fillId="0" borderId="0" xfId="159" applyFont="1">
      <alignment horizontal="center" vertical="center" wrapText="1"/>
    </xf>
    <xf numFmtId="0" fontId="20" fillId="8" borderId="0" xfId="160" applyFont="1" applyFill="1">
      <alignment horizontal="center" vertical="center" wrapText="1"/>
    </xf>
    <xf numFmtId="49" fontId="9" fillId="4" borderId="13" xfId="161" applyNumberFormat="1" applyFont="1" applyFill="1" applyBorder="1">
      <alignment horizontal="left" vertical="center" wrapText="1"/>
      <protection locked="0"/>
    </xf>
    <xf numFmtId="0" fontId="9" fillId="4" borderId="13" xfId="162" applyFont="1" applyFill="1" applyBorder="1">
      <alignment horizontal="center" vertical="center" wrapText="1"/>
      <protection locked="0"/>
    </xf>
    <xf numFmtId="1" fontId="9" fillId="4" borderId="21" xfId="163" applyNumberFormat="1" applyFont="1" applyFill="1" applyBorder="1">
      <alignment horizontal="right" vertical="center" wrapText="1"/>
      <protection locked="0"/>
    </xf>
    <xf numFmtId="0" fontId="9" fillId="7" borderId="22" xfId="164" applyFont="1" applyFill="1" applyBorder="1">
      <alignment horizontal="center" vertical="center" wrapText="1"/>
      <protection locked="0"/>
    </xf>
    <xf numFmtId="165" fontId="9" fillId="7" borderId="13" xfId="165" applyNumberFormat="1" applyFont="1" applyFill="1" applyBorder="1">
      <alignment horizontal="right" vertical="center" wrapText="1"/>
      <protection locked="0"/>
    </xf>
    <xf numFmtId="4" fontId="9" fillId="7" borderId="13" xfId="166" applyNumberFormat="1" applyFont="1" applyFill="1" applyBorder="1">
      <alignment horizontal="right" vertical="center" wrapText="1"/>
      <protection locked="0"/>
    </xf>
    <xf numFmtId="49" fontId="9" fillId="4" borderId="13" xfId="167" applyNumberFormat="1" applyFont="1" applyFill="1" applyBorder="1">
      <alignment horizontal="right" vertical="center" wrapText="1"/>
      <protection locked="0"/>
    </xf>
    <xf numFmtId="0" fontId="21" fillId="0" borderId="0" xfId="168" applyFont="1">
      <alignment horizontal="left" vertical="center" wrapText="1"/>
    </xf>
    <xf numFmtId="0" fontId="9" fillId="4" borderId="22" xfId="169" applyFont="1" applyFill="1" applyBorder="1">
      <alignment horizontal="center" vertical="center" wrapText="1"/>
      <protection locked="0"/>
    </xf>
    <xf numFmtId="165" fontId="9" fillId="4" borderId="13" xfId="170" applyNumberFormat="1" applyFont="1" applyFill="1" applyBorder="1">
      <alignment horizontal="right" vertical="center" wrapText="1"/>
      <protection locked="0"/>
    </xf>
    <xf numFmtId="49" fontId="22" fillId="13" borderId="29" xfId="171" applyNumberFormat="1" applyFont="1" applyFill="1" applyBorder="1">
      <alignment horizontal="right" vertical="center" wrapText="1"/>
    </xf>
    <xf numFmtId="49" fontId="16" fillId="13" borderId="30" xfId="172" applyNumberFormat="1" applyFont="1" applyFill="1" applyBorder="1">
      <alignment horizontal="left" vertical="center" wrapText="1"/>
    </xf>
    <xf numFmtId="49" fontId="9" fillId="13" borderId="30" xfId="173" applyNumberFormat="1" applyFont="1" applyFill="1" applyBorder="1">
      <alignment horizontal="right" vertical="center" wrapText="1"/>
    </xf>
    <xf numFmtId="49" fontId="9" fillId="13" borderId="30" xfId="174" applyNumberFormat="1" applyFont="1" applyFill="1" applyBorder="1">
      <alignment horizontal="left" vertical="center" wrapText="1"/>
    </xf>
    <xf numFmtId="49" fontId="9" fillId="13" borderId="31" xfId="175" applyNumberFormat="1" applyFont="1" applyFill="1" applyBorder="1">
      <alignment horizontal="right" vertical="center" wrapText="1"/>
    </xf>
    <xf numFmtId="49" fontId="9" fillId="13" borderId="21" xfId="176" applyNumberFormat="1" applyFont="1" applyFill="1" applyBorder="1">
      <alignment horizontal="right" vertical="center" wrapText="1"/>
    </xf>
    <xf numFmtId="0" fontId="9" fillId="12" borderId="25" xfId="189" applyFont="1" applyFill="1" applyBorder="1">
      <alignment horizontal="center" vertical="center" wrapText="1"/>
    </xf>
    <xf numFmtId="3" fontId="9" fillId="6" borderId="26" xfId="194" applyNumberFormat="1" applyFont="1" applyFill="1" applyBorder="1">
      <alignment horizontal="right" vertical="center" wrapText="1"/>
    </xf>
    <xf numFmtId="0" fontId="9" fillId="8" borderId="23" xfId="197" applyFont="1" applyFill="1" applyBorder="1">
      <alignment vertical="center" wrapText="1"/>
    </xf>
    <xf numFmtId="167" fontId="11" fillId="8" borderId="0" xfId="198" applyNumberFormat="1" applyFont="1" applyFill="1">
      <alignment horizontal="center" vertical="center" wrapText="1"/>
    </xf>
    <xf numFmtId="166" fontId="12" fillId="6" borderId="24" xfId="201" applyNumberFormat="1" applyFont="1" applyFill="1" applyBorder="1">
      <alignment horizontal="right" vertical="center" wrapText="1"/>
    </xf>
    <xf numFmtId="49" fontId="9" fillId="0" borderId="16" xfId="202" applyNumberFormat="1" applyFont="1" applyBorder="1">
      <alignment vertical="center" wrapText="1"/>
    </xf>
    <xf numFmtId="0" fontId="9" fillId="0" borderId="19" xfId="203" applyFont="1" applyBorder="1">
      <alignment vertical="center" wrapText="1"/>
    </xf>
    <xf numFmtId="0" fontId="19" fillId="0" borderId="0" xfId="204" applyFont="1">
      <alignment vertical="center" wrapText="1"/>
    </xf>
    <xf numFmtId="49" fontId="9" fillId="14" borderId="13" xfId="205" applyNumberFormat="1" applyFont="1" applyFill="1" applyBorder="1">
      <alignment horizontal="center" vertical="center"/>
    </xf>
    <xf numFmtId="0" fontId="9" fillId="15" borderId="13" xfId="206" applyFont="1" applyFill="1" applyBorder="1">
      <alignment horizontal="left" vertical="center"/>
    </xf>
    <xf numFmtId="0" fontId="23" fillId="16" borderId="17" xfId="207" applyFont="1" applyFill="1" applyBorder="1">
      <alignment horizontal="left" vertical="center" wrapText="1"/>
    </xf>
    <xf numFmtId="49" fontId="21" fillId="17" borderId="13" xfId="208" applyNumberFormat="1" applyFont="1" applyFill="1" applyBorder="1">
      <alignment horizontal="left" vertical="center" wrapText="1"/>
    </xf>
    <xf numFmtId="0" fontId="9" fillId="18" borderId="13" xfId="209" applyFont="1" applyFill="1" applyBorder="1">
      <alignment vertical="center"/>
    </xf>
    <xf numFmtId="166" fontId="9" fillId="4" borderId="13" xfId="210" applyNumberFormat="1" applyFont="1" applyFill="1" applyBorder="1">
      <alignment horizontal="right" vertical="center" wrapText="1"/>
      <protection locked="0"/>
    </xf>
    <xf numFmtId="168" fontId="9" fillId="4" borderId="13" xfId="211" applyNumberFormat="1" applyFont="1" applyFill="1" applyBorder="1">
      <alignment horizontal="right" vertical="center" wrapText="1"/>
      <protection locked="0"/>
    </xf>
    <xf numFmtId="49" fontId="9" fillId="0" borderId="25" xfId="212" applyNumberFormat="1" applyFont="1" applyBorder="1">
      <alignment horizontal="left" vertical="center" wrapText="1"/>
    </xf>
    <xf numFmtId="166" fontId="7" fillId="4" borderId="13" xfId="213" applyNumberFormat="1" applyFont="1" applyFill="1" applyBorder="1">
      <alignment horizontal="right" vertical="center" wrapText="1"/>
      <protection locked="0"/>
    </xf>
    <xf numFmtId="1" fontId="9" fillId="6" borderId="13" xfId="214" applyNumberFormat="1" applyFont="1" applyFill="1" applyBorder="1">
      <alignment horizontal="right" vertical="center" wrapText="1"/>
    </xf>
    <xf numFmtId="9" fontId="9" fillId="6" borderId="13" xfId="215" applyNumberFormat="1" applyFont="1" applyFill="1" applyBorder="1">
      <alignment horizontal="right" vertical="center" wrapText="1"/>
    </xf>
    <xf numFmtId="170" fontId="9" fillId="6" borderId="13" xfId="219" applyNumberFormat="1" applyFont="1" applyFill="1" applyBorder="1">
      <alignment horizontal="right" vertical="center" wrapText="1"/>
    </xf>
    <xf numFmtId="166" fontId="9" fillId="7" borderId="13" xfId="220" applyNumberFormat="1" applyFont="1" applyFill="1" applyBorder="1">
      <alignment horizontal="right" vertical="center" wrapText="1"/>
      <protection locked="0"/>
    </xf>
    <xf numFmtId="49" fontId="9" fillId="7" borderId="13" xfId="221" applyNumberFormat="1" applyFont="1" applyFill="1" applyBorder="1">
      <alignment horizontal="left" vertical="center" wrapText="1"/>
      <protection locked="0"/>
    </xf>
    <xf numFmtId="10" fontId="9" fillId="6" borderId="13" xfId="222" applyNumberFormat="1" applyFont="1" applyFill="1" applyBorder="1">
      <alignment horizontal="right" vertical="center" wrapText="1"/>
    </xf>
    <xf numFmtId="49" fontId="12" fillId="6" borderId="25" xfId="234" applyNumberFormat="1" applyFont="1" applyFill="1" applyBorder="1">
      <alignment vertical="center" wrapText="1"/>
    </xf>
    <xf numFmtId="49" fontId="26" fillId="20" borderId="0" xfId="235" applyNumberFormat="1" applyFont="1" applyFill="1">
      <alignment horizontal="center" vertical="center" wrapText="1"/>
      <protection locked="0"/>
    </xf>
    <xf numFmtId="0" fontId="12" fillId="14" borderId="13" xfId="236" applyFont="1" applyFill="1" applyBorder="1">
      <alignment horizontal="left" vertical="center" wrapText="1"/>
    </xf>
    <xf numFmtId="0" fontId="12" fillId="14" borderId="13" xfId="237" applyFont="1" applyFill="1" applyBorder="1">
      <alignment horizontal="left" wrapText="1"/>
    </xf>
    <xf numFmtId="49" fontId="10" fillId="21" borderId="0" xfId="238" applyNumberFormat="1" applyFont="1" applyFill="1">
      <alignment horizontal="center" vertical="top" wrapText="1"/>
    </xf>
    <xf numFmtId="0" fontId="12" fillId="14" borderId="13" xfId="239" applyFont="1" applyFill="1" applyBorder="1">
      <alignment horizontal="center" wrapText="1"/>
    </xf>
    <xf numFmtId="49" fontId="12" fillId="14" borderId="13" xfId="240" applyNumberFormat="1" applyFont="1" applyFill="1" applyBorder="1">
      <alignment horizontal="center" vertical="center" wrapText="1"/>
    </xf>
    <xf numFmtId="0" fontId="21" fillId="14" borderId="0" xfId="241" applyFont="1" applyFill="1">
      <alignment horizontal="center" vertical="center" wrapText="1"/>
    </xf>
    <xf numFmtId="49" fontId="23" fillId="4" borderId="13" xfId="242" applyNumberFormat="1" applyFont="1" applyFill="1" applyBorder="1">
      <alignment horizontal="right" vertical="center" wrapText="1"/>
      <protection locked="0"/>
    </xf>
    <xf numFmtId="49" fontId="23" fillId="4" borderId="13" xfId="243" applyNumberFormat="1" applyFont="1" applyFill="1" applyBorder="1">
      <alignment horizontal="center" vertical="center" wrapText="1"/>
      <protection locked="0"/>
    </xf>
    <xf numFmtId="0" fontId="9" fillId="0" borderId="0" xfId="244" applyFont="1">
      <alignment horizontal="left" wrapText="1"/>
    </xf>
    <xf numFmtId="0" fontId="5" fillId="0" borderId="0" xfId="245" applyFont="1">
      <alignment horizontal="left" wrapText="1"/>
    </xf>
    <xf numFmtId="0" fontId="9" fillId="22" borderId="0" xfId="246" applyFont="1" applyFill="1">
      <alignment horizontal="left" wrapText="1"/>
    </xf>
    <xf numFmtId="49" fontId="9" fillId="0" borderId="0" xfId="247" applyNumberFormat="1" applyFont="1">
      <alignment horizontal="left" wrapText="1"/>
    </xf>
    <xf numFmtId="49" fontId="9" fillId="0" borderId="0" xfId="248" applyNumberFormat="1" applyFont="1">
      <alignment vertical="top" wrapText="1"/>
    </xf>
    <xf numFmtId="0" fontId="9" fillId="0" borderId="0" xfId="249" applyFont="1">
      <alignment wrapText="1"/>
    </xf>
    <xf numFmtId="49" fontId="9" fillId="22" borderId="0" xfId="250" applyNumberFormat="1" applyFont="1" applyFill="1">
      <alignment horizontal="right" wrapText="1"/>
    </xf>
    <xf numFmtId="49" fontId="9" fillId="0" borderId="13" xfId="251" applyNumberFormat="1" applyFont="1" applyBorder="1">
      <alignment vertical="top" wrapText="1"/>
    </xf>
    <xf numFmtId="49" fontId="26" fillId="21" borderId="26" xfId="253" applyNumberFormat="1" applyFont="1" applyFill="1" applyBorder="1">
      <alignment horizontal="center" vertical="top" wrapText="1"/>
    </xf>
    <xf numFmtId="49" fontId="26" fillId="21" borderId="13" xfId="254" applyNumberFormat="1" applyFont="1" applyFill="1" applyBorder="1">
      <alignment horizontal="center" vertical="top" wrapText="1"/>
    </xf>
    <xf numFmtId="0" fontId="23" fillId="4" borderId="13" xfId="255" applyFont="1" applyFill="1" applyBorder="1">
      <alignment horizontal="center" vertical="center" wrapText="1"/>
      <protection locked="0"/>
    </xf>
    <xf numFmtId="0" fontId="10" fillId="21" borderId="0" xfId="256" applyFont="1" applyFill="1">
      <alignment horizontal="left" wrapText="1"/>
    </xf>
    <xf numFmtId="49" fontId="12" fillId="14" borderId="0" xfId="257" applyNumberFormat="1" applyFont="1" applyFill="1">
      <alignment vertical="center" wrapText="1"/>
    </xf>
    <xf numFmtId="49" fontId="27" fillId="0" borderId="5" xfId="258" applyNumberFormat="1" applyFont="1" applyBorder="1">
      <alignment horizontal="right" vertical="center" wrapText="1"/>
    </xf>
    <xf numFmtId="49" fontId="9" fillId="7" borderId="13" xfId="259" applyNumberFormat="1" applyFont="1" applyFill="1" applyBorder="1">
      <alignment horizontal="right" vertical="center" wrapText="1"/>
      <protection locked="0"/>
    </xf>
    <xf numFmtId="0" fontId="21" fillId="0" borderId="0" xfId="260" applyFont="1">
      <alignment horizontal="left" wrapText="1"/>
    </xf>
    <xf numFmtId="49" fontId="28" fillId="4" borderId="17" xfId="261" applyNumberFormat="1" applyFont="1" applyFill="1" applyBorder="1">
      <alignment horizontal="center" vertical="center" wrapText="1"/>
      <protection locked="0"/>
    </xf>
    <xf numFmtId="49" fontId="9" fillId="6" borderId="13" xfId="40" applyNumberFormat="1" applyFont="1" applyFill="1" applyBorder="1" applyProtection="1">
      <alignment horizontal="center" vertical="center" wrapText="1"/>
    </xf>
    <xf numFmtId="1" fontId="9" fillId="6" borderId="13" xfId="41" applyNumberFormat="1" applyFont="1" applyFill="1" applyBorder="1" applyProtection="1">
      <alignment horizontal="center" vertical="center" wrapText="1"/>
    </xf>
    <xf numFmtId="49" fontId="7" fillId="6" borderId="13" xfId="45" applyNumberFormat="1" applyFont="1" applyFill="1" applyBorder="1" applyProtection="1">
      <alignment horizontal="center" vertical="center" wrapText="1"/>
    </xf>
    <xf numFmtId="0" fontId="9" fillId="7" borderId="17" xfId="66" applyFont="1" applyFill="1" applyBorder="1" applyProtection="1">
      <alignment horizontal="center" vertical="center" wrapText="1"/>
    </xf>
    <xf numFmtId="49" fontId="7" fillId="4" borderId="17" xfId="67" applyNumberFormat="1" applyFont="1" applyFill="1" applyBorder="1" applyProtection="1">
      <alignment horizontal="center" vertical="center" wrapText="1"/>
    </xf>
    <xf numFmtId="0" fontId="9" fillId="4" borderId="17" xfId="68" applyFont="1" applyFill="1" applyBorder="1" applyProtection="1">
      <alignment horizontal="center" vertical="center" wrapText="1"/>
    </xf>
    <xf numFmtId="49" fontId="9" fillId="7" borderId="17" xfId="70" applyNumberFormat="1" applyFont="1" applyFill="1" applyBorder="1" applyProtection="1">
      <alignment horizontal="left" vertical="center" wrapText="1"/>
    </xf>
    <xf numFmtId="3" fontId="9" fillId="4" borderId="13" xfId="106" applyNumberFormat="1" applyFont="1" applyFill="1" applyBorder="1" applyProtection="1">
      <alignment horizontal="right" vertical="center" wrapText="1"/>
    </xf>
    <xf numFmtId="49" fontId="9" fillId="4" borderId="13" xfId="161" applyNumberFormat="1" applyFont="1" applyFill="1" applyBorder="1" applyProtection="1">
      <alignment horizontal="left" vertical="center" wrapText="1"/>
    </xf>
    <xf numFmtId="0" fontId="9" fillId="4" borderId="13" xfId="162" applyFont="1" applyFill="1" applyBorder="1" applyProtection="1">
      <alignment horizontal="center" vertical="center" wrapText="1"/>
    </xf>
    <xf numFmtId="1" fontId="9" fillId="4" borderId="21" xfId="163" applyNumberFormat="1" applyFont="1" applyFill="1" applyBorder="1" applyProtection="1">
      <alignment horizontal="right" vertical="center" wrapText="1"/>
    </xf>
    <xf numFmtId="49" fontId="9" fillId="7" borderId="13" xfId="40" applyNumberFormat="1" applyFont="1" applyFill="1" applyBorder="1" applyProtection="1">
      <alignment horizontal="center" vertical="center" wrapText="1"/>
    </xf>
    <xf numFmtId="0" fontId="9" fillId="7" borderId="22" xfId="164" applyFont="1" applyFill="1" applyBorder="1" applyProtection="1">
      <alignment horizontal="center" vertical="center" wrapText="1"/>
    </xf>
    <xf numFmtId="165" fontId="9" fillId="7" borderId="13" xfId="165" applyNumberFormat="1" applyFont="1" applyFill="1" applyBorder="1" applyProtection="1">
      <alignment horizontal="right" vertical="center" wrapText="1"/>
    </xf>
    <xf numFmtId="3" fontId="9" fillId="7" borderId="13" xfId="150" applyNumberFormat="1" applyFont="1" applyFill="1" applyBorder="1" applyProtection="1">
      <alignment horizontal="right" vertical="center" wrapText="1"/>
    </xf>
    <xf numFmtId="4" fontId="9" fillId="7" borderId="13" xfId="166" applyNumberFormat="1" applyFont="1" applyFill="1" applyBorder="1" applyProtection="1">
      <alignment horizontal="right" vertical="center" wrapText="1"/>
    </xf>
    <xf numFmtId="49" fontId="9" fillId="4" borderId="13" xfId="167" applyNumberFormat="1" applyFont="1" applyFill="1" applyBorder="1" applyProtection="1">
      <alignment horizontal="right" vertical="center" wrapText="1"/>
    </xf>
    <xf numFmtId="49" fontId="9" fillId="4" borderId="13" xfId="48" applyNumberFormat="1" applyFont="1" applyFill="1" applyBorder="1" applyProtection="1">
      <alignment horizontal="center" vertical="center" wrapText="1"/>
    </xf>
    <xf numFmtId="0" fontId="9" fillId="4" borderId="22" xfId="169" applyFont="1" applyFill="1" applyBorder="1" applyProtection="1">
      <alignment horizontal="center" vertical="center" wrapText="1"/>
    </xf>
    <xf numFmtId="165" fontId="9" fillId="4" borderId="13" xfId="170" applyNumberFormat="1" applyFont="1" applyFill="1" applyBorder="1" applyProtection="1">
      <alignment horizontal="right" vertical="center" wrapText="1"/>
    </xf>
    <xf numFmtId="0" fontId="9" fillId="0" borderId="0" xfId="0" applyFont="1" applyAlignment="1">
      <alignment vertical="center" wrapText="1"/>
    </xf>
    <xf numFmtId="0" fontId="29" fillId="0" borderId="0" xfId="0" applyFont="1">
      <alignment vertical="top"/>
    </xf>
    <xf numFmtId="49" fontId="15" fillId="0" borderId="5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3" fontId="7" fillId="4" borderId="13" xfId="106" applyNumberFormat="1" applyFont="1" applyFill="1" applyBorder="1" applyProtection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0" fillId="0" borderId="0" xfId="0" applyFont="1">
      <alignment vertical="top"/>
    </xf>
    <xf numFmtId="0" fontId="30" fillId="0" borderId="0" xfId="0" applyFont="1">
      <alignment vertical="top"/>
    </xf>
    <xf numFmtId="0" fontId="31" fillId="7" borderId="21" xfId="195" applyFont="1" applyFill="1" applyBorder="1">
      <alignment vertical="center" wrapText="1"/>
      <protection locked="0"/>
    </xf>
    <xf numFmtId="166" fontId="9" fillId="4" borderId="13" xfId="210" applyNumberFormat="1" applyFont="1" applyFill="1" applyBorder="1" applyProtection="1">
      <alignment horizontal="right" vertical="center" wrapText="1"/>
    </xf>
    <xf numFmtId="168" fontId="9" fillId="4" borderId="13" xfId="211" applyNumberFormat="1" applyFont="1" applyFill="1" applyBorder="1" applyProtection="1">
      <alignment horizontal="right" vertical="center" wrapText="1"/>
    </xf>
    <xf numFmtId="166" fontId="7" fillId="4" borderId="13" xfId="213" applyNumberFormat="1" applyFont="1" applyFill="1" applyBorder="1" applyProtection="1">
      <alignment horizontal="right" vertical="center" wrapText="1"/>
    </xf>
    <xf numFmtId="4" fontId="9" fillId="4" borderId="13" xfId="129" applyNumberFormat="1" applyFont="1" applyFill="1" applyBorder="1" applyProtection="1">
      <alignment horizontal="right" vertical="center" wrapText="1"/>
    </xf>
    <xf numFmtId="3" fontId="9" fillId="4" borderId="22" xfId="217" applyNumberFormat="1" applyFont="1" applyFill="1" applyBorder="1" applyProtection="1">
      <alignment horizontal="center" vertical="center" wrapText="1"/>
    </xf>
    <xf numFmtId="3" fontId="9" fillId="4" borderId="13" xfId="218" applyNumberFormat="1" applyFont="1" applyFill="1" applyBorder="1" applyProtection="1">
      <alignment horizontal="left" vertical="center" wrapText="1"/>
    </xf>
    <xf numFmtId="10" fontId="9" fillId="4" borderId="13" xfId="104" applyNumberFormat="1" applyFont="1" applyFill="1" applyBorder="1" applyProtection="1">
      <alignment horizontal="right" vertical="center" wrapText="1"/>
    </xf>
    <xf numFmtId="166" fontId="9" fillId="7" borderId="13" xfId="220" applyNumberFormat="1" applyFont="1" applyFill="1" applyBorder="1" applyProtection="1">
      <alignment horizontal="right" vertical="center" wrapText="1"/>
    </xf>
    <xf numFmtId="49" fontId="9" fillId="7" borderId="13" xfId="221" applyNumberFormat="1" applyFont="1" applyFill="1" applyBorder="1" applyProtection="1">
      <alignment horizontal="left" vertical="center" wrapText="1"/>
    </xf>
    <xf numFmtId="0" fontId="40" fillId="8" borderId="0" xfId="30" applyFont="1" applyFill="1">
      <alignment vertical="center" wrapText="1"/>
    </xf>
    <xf numFmtId="0" fontId="41" fillId="0" borderId="0" xfId="0" applyFont="1">
      <alignment vertical="top"/>
    </xf>
    <xf numFmtId="0" fontId="40" fillId="0" borderId="12" xfId="118" applyFont="1" applyBorder="1">
      <alignment horizontal="left" vertical="center" wrapText="1"/>
    </xf>
    <xf numFmtId="0" fontId="43" fillId="0" borderId="0" xfId="0" applyFont="1">
      <alignment vertical="top"/>
    </xf>
    <xf numFmtId="0" fontId="42" fillId="0" borderId="25" xfId="89" applyFont="1" applyBorder="1">
      <alignment horizontal="center" vertical="center" wrapText="1"/>
    </xf>
    <xf numFmtId="49" fontId="42" fillId="0" borderId="26" xfId="192" applyNumberFormat="1" applyFont="1" applyBorder="1">
      <alignment horizontal="center" vertical="center" wrapText="1"/>
    </xf>
    <xf numFmtId="49" fontId="42" fillId="0" borderId="24" xfId="193" applyNumberFormat="1" applyFont="1" applyBorder="1">
      <alignment horizontal="left" vertical="center" wrapText="1"/>
    </xf>
    <xf numFmtId="3" fontId="42" fillId="6" borderId="26" xfId="194" applyNumberFormat="1" applyFont="1" applyFill="1" applyBorder="1">
      <alignment horizontal="right" vertical="center" wrapText="1"/>
    </xf>
    <xf numFmtId="3" fontId="42" fillId="7" borderId="13" xfId="150" applyNumberFormat="1" applyFont="1" applyFill="1" applyBorder="1">
      <alignment horizontal="right" vertical="center" wrapText="1"/>
      <protection locked="0"/>
    </xf>
    <xf numFmtId="49" fontId="42" fillId="0" borderId="13" xfId="103" applyNumberFormat="1" applyFont="1" applyBorder="1">
      <alignment horizontal="left" vertical="center" wrapText="1"/>
    </xf>
    <xf numFmtId="0" fontId="44" fillId="8" borderId="0" xfId="149" applyFont="1" applyFill="1">
      <alignment vertical="center" wrapText="1"/>
    </xf>
    <xf numFmtId="0" fontId="45" fillId="0" borderId="0" xfId="32" applyFont="1">
      <alignment vertical="center" wrapText="1"/>
    </xf>
    <xf numFmtId="49" fontId="40" fillId="19" borderId="13" xfId="229" applyNumberFormat="1" applyFont="1" applyFill="1" applyBorder="1">
      <alignment horizontal="center" vertical="center" wrapText="1"/>
    </xf>
    <xf numFmtId="0" fontId="40" fillId="0" borderId="13" xfId="101" applyFont="1" applyBorder="1">
      <alignment horizontal="center" vertical="center" wrapText="1"/>
    </xf>
    <xf numFmtId="0" fontId="47" fillId="0" borderId="0" xfId="230" applyFont="1">
      <alignment horizontal="center" vertical="center" wrapText="1"/>
    </xf>
    <xf numFmtId="49" fontId="40" fillId="0" borderId="13" xfId="82" applyNumberFormat="1" applyFont="1" applyBorder="1">
      <alignment horizontal="center" vertical="center" wrapText="1"/>
    </xf>
    <xf numFmtId="49" fontId="40" fillId="0" borderId="13" xfId="103" applyNumberFormat="1" applyFont="1" applyBorder="1">
      <alignment horizontal="left" vertical="center" wrapText="1"/>
    </xf>
    <xf numFmtId="0" fontId="40" fillId="6" borderId="13" xfId="39" applyFont="1" applyFill="1" applyBorder="1">
      <alignment horizontal="center" vertical="center" wrapText="1"/>
    </xf>
    <xf numFmtId="49" fontId="40" fillId="6" borderId="13" xfId="43" applyNumberFormat="1" applyFont="1" applyFill="1" applyBorder="1">
      <alignment horizontal="center" vertical="center" wrapText="1"/>
    </xf>
    <xf numFmtId="0" fontId="40" fillId="0" borderId="13" xfId="231" applyFont="1" applyBorder="1">
      <alignment horizontal="right" vertical="center" wrapText="1"/>
    </xf>
    <xf numFmtId="168" fontId="40" fillId="0" borderId="13" xfId="132" applyNumberFormat="1" applyFont="1" applyBorder="1">
      <alignment horizontal="right" vertical="center" wrapText="1"/>
    </xf>
    <xf numFmtId="49" fontId="48" fillId="8" borderId="0" xfId="232" applyNumberFormat="1" applyFont="1" applyFill="1">
      <alignment horizontal="left" vertical="center" wrapText="1"/>
    </xf>
    <xf numFmtId="49" fontId="40" fillId="8" borderId="0" xfId="233" applyNumberFormat="1" applyFont="1" applyFill="1">
      <alignment vertical="center" wrapText="1"/>
    </xf>
    <xf numFmtId="0" fontId="1" fillId="0" borderId="0" xfId="1" applyFont="1">
      <alignment vertical="top" wrapText="1"/>
    </xf>
    <xf numFmtId="0" fontId="0" fillId="0" borderId="0" xfId="0" applyFont="1">
      <alignment vertical="top"/>
    </xf>
    <xf numFmtId="0" fontId="4" fillId="0" borderId="0" xfId="4" applyFont="1">
      <alignment vertical="center" wrapText="1"/>
    </xf>
    <xf numFmtId="0" fontId="5" fillId="2" borderId="1" xfId="5" applyFont="1" applyFill="1" applyBorder="1">
      <alignment horizontal="center" vertical="center" wrapText="1"/>
    </xf>
    <xf numFmtId="0" fontId="5" fillId="2" borderId="2" xfId="6" applyFont="1" applyFill="1" applyBorder="1">
      <alignment horizontal="center" vertical="center" wrapText="1"/>
    </xf>
    <xf numFmtId="0" fontId="5" fillId="2" borderId="3" xfId="7" applyFont="1" applyFill="1" applyBorder="1">
      <alignment horizontal="center" vertical="center" wrapText="1"/>
    </xf>
    <xf numFmtId="0" fontId="5" fillId="3" borderId="4" xfId="8" applyFont="1" applyFill="1" applyBorder="1">
      <alignment horizontal="right" vertical="center" wrapText="1"/>
    </xf>
    <xf numFmtId="0" fontId="5" fillId="3" borderId="5" xfId="9" applyFont="1" applyFill="1" applyBorder="1">
      <alignment horizontal="right" vertical="center" wrapText="1"/>
    </xf>
    <xf numFmtId="0" fontId="5" fillId="3" borderId="0" xfId="17" applyFont="1" applyFill="1">
      <alignment horizontal="right" vertical="center" wrapText="1"/>
    </xf>
    <xf numFmtId="0" fontId="1" fillId="0" borderId="4" xfId="12" applyFont="1" applyBorder="1">
      <alignment vertical="center" wrapText="1"/>
    </xf>
    <xf numFmtId="0" fontId="1" fillId="0" borderId="4" xfId="14" applyFont="1" applyBorder="1">
      <alignment horizontal="left" vertical="center" wrapText="1"/>
    </xf>
    <xf numFmtId="0" fontId="5" fillId="3" borderId="6" xfId="20" applyFont="1" applyFill="1" applyBorder="1">
      <alignment horizontal="right" vertical="center" wrapText="1"/>
    </xf>
    <xf numFmtId="0" fontId="5" fillId="3" borderId="8" xfId="21" applyFont="1" applyFill="1" applyBorder="1">
      <alignment horizontal="right" vertical="center" wrapText="1"/>
    </xf>
    <xf numFmtId="0" fontId="1" fillId="0" borderId="0" xfId="23" applyFont="1">
      <alignment vertical="center" wrapText="1"/>
    </xf>
    <xf numFmtId="0" fontId="5" fillId="3" borderId="9" xfId="24" applyFont="1" applyFill="1" applyBorder="1">
      <alignment horizontal="right" vertical="center" wrapText="1"/>
    </xf>
    <xf numFmtId="0" fontId="5" fillId="3" borderId="10" xfId="25" applyFont="1" applyFill="1" applyBorder="1">
      <alignment horizontal="right" vertical="center" wrapText="1"/>
    </xf>
    <xf numFmtId="49" fontId="26" fillId="20" borderId="33" xfId="252" applyNumberFormat="1" applyFont="1" applyFill="1" applyBorder="1">
      <alignment horizontal="center" vertical="center" wrapText="1"/>
      <protection locked="0"/>
    </xf>
    <xf numFmtId="49" fontId="26" fillId="20" borderId="0" xfId="235" applyNumberFormat="1" applyFont="1" applyFill="1">
      <alignment horizontal="center" vertical="center" wrapText="1"/>
      <protection locked="0"/>
    </xf>
    <xf numFmtId="0" fontId="9" fillId="0" borderId="11" xfId="34" applyFont="1" applyBorder="1">
      <alignment horizontal="left" vertical="center" wrapText="1"/>
    </xf>
    <xf numFmtId="164" fontId="9" fillId="8" borderId="12" xfId="35" applyNumberFormat="1" applyFont="1" applyFill="1" applyBorder="1">
      <alignment horizontal="right" vertical="center" wrapText="1"/>
    </xf>
    <xf numFmtId="164" fontId="9" fillId="8" borderId="0" xfId="37" applyNumberFormat="1" applyFont="1" applyFill="1">
      <alignment horizontal="right" vertical="center" wrapText="1"/>
    </xf>
    <xf numFmtId="49" fontId="12" fillId="0" borderId="14" xfId="50" applyNumberFormat="1" applyFont="1" applyBorder="1">
      <alignment horizontal="left" vertical="center" wrapText="1"/>
    </xf>
    <xf numFmtId="49" fontId="9" fillId="8" borderId="0" xfId="55" applyNumberFormat="1" applyFont="1" applyFill="1">
      <alignment horizontal="center" vertical="center" wrapText="1"/>
    </xf>
    <xf numFmtId="49" fontId="9" fillId="0" borderId="14" xfId="54" applyNumberFormat="1" applyFont="1" applyBorder="1">
      <alignment horizontal="left" vertical="center" wrapText="1"/>
    </xf>
    <xf numFmtId="0" fontId="13" fillId="0" borderId="16" xfId="52" applyFont="1" applyBorder="1">
      <alignment horizontal="left" vertical="center" wrapText="1"/>
    </xf>
    <xf numFmtId="0" fontId="7" fillId="0" borderId="16" xfId="53" applyFont="1" applyBorder="1">
      <alignment horizontal="left" vertical="center" wrapText="1"/>
    </xf>
    <xf numFmtId="0" fontId="9" fillId="8" borderId="23" xfId="116" applyFont="1" applyFill="1" applyBorder="1">
      <alignment horizontal="left" vertical="center" wrapText="1"/>
    </xf>
    <xf numFmtId="49" fontId="9" fillId="0" borderId="23" xfId="117" applyNumberFormat="1" applyFont="1" applyBorder="1">
      <alignment horizontal="left" vertical="center" wrapText="1"/>
    </xf>
    <xf numFmtId="0" fontId="9" fillId="0" borderId="0" xfId="119" applyFont="1">
      <alignment horizontal="left" vertical="center" wrapText="1"/>
    </xf>
    <xf numFmtId="167" fontId="9" fillId="0" borderId="24" xfId="84" applyNumberFormat="1" applyFont="1" applyBorder="1">
      <alignment horizontal="center" vertical="center" wrapText="1"/>
    </xf>
    <xf numFmtId="167" fontId="9" fillId="0" borderId="25" xfId="88" applyNumberFormat="1" applyFont="1" applyBorder="1">
      <alignment horizontal="center" vertical="center" wrapText="1"/>
    </xf>
    <xf numFmtId="0" fontId="9" fillId="0" borderId="24" xfId="85" applyFont="1" applyBorder="1">
      <alignment horizontal="center" vertical="center" wrapText="1"/>
    </xf>
    <xf numFmtId="0" fontId="9" fillId="0" borderId="25" xfId="89" applyFont="1" applyBorder="1">
      <alignment horizontal="center" vertical="center" wrapText="1"/>
    </xf>
    <xf numFmtId="167" fontId="9" fillId="0" borderId="24" xfId="86" applyNumberFormat="1" applyFont="1" applyBorder="1">
      <alignment horizontal="right" vertical="center" wrapText="1"/>
    </xf>
    <xf numFmtId="167" fontId="9" fillId="0" borderId="25" xfId="90" applyNumberFormat="1" applyFont="1" applyBorder="1">
      <alignment horizontal="right" vertical="center" wrapText="1"/>
    </xf>
    <xf numFmtId="0" fontId="13" fillId="0" borderId="23" xfId="74" applyFont="1" applyBorder="1">
      <alignment horizontal="left" vertical="center" wrapText="1"/>
    </xf>
    <xf numFmtId="0" fontId="7" fillId="0" borderId="23" xfId="75" applyFont="1" applyBorder="1">
      <alignment horizontal="left" vertical="center" wrapText="1"/>
    </xf>
    <xf numFmtId="49" fontId="9" fillId="0" borderId="11" xfId="78" applyNumberFormat="1" applyFont="1" applyBorder="1">
      <alignment horizontal="left" vertical="center" wrapText="1"/>
    </xf>
    <xf numFmtId="49" fontId="9" fillId="0" borderId="13" xfId="82" applyNumberFormat="1" applyFont="1" applyBorder="1">
      <alignment horizontal="center" vertical="center" wrapText="1"/>
    </xf>
    <xf numFmtId="49" fontId="9" fillId="0" borderId="25" xfId="87" applyNumberFormat="1" applyFont="1" applyBorder="1">
      <alignment horizontal="center" vertical="center" wrapText="1"/>
    </xf>
    <xf numFmtId="1" fontId="9" fillId="0" borderId="13" xfId="83" applyNumberFormat="1" applyFont="1" applyBorder="1">
      <alignment horizontal="center" vertical="center" wrapText="1"/>
    </xf>
    <xf numFmtId="49" fontId="9" fillId="0" borderId="24" xfId="127" applyNumberFormat="1" applyFont="1" applyBorder="1">
      <alignment horizontal="center" vertical="center" wrapText="1"/>
    </xf>
    <xf numFmtId="0" fontId="9" fillId="0" borderId="13" xfId="101" applyFont="1" applyBorder="1">
      <alignment horizontal="center" vertical="center" wrapText="1"/>
    </xf>
    <xf numFmtId="1" fontId="9" fillId="0" borderId="21" xfId="124" applyNumberFormat="1" applyFont="1" applyBorder="1">
      <alignment horizontal="center" vertical="center" wrapText="1"/>
    </xf>
    <xf numFmtId="1" fontId="9" fillId="0" borderId="11" xfId="125" applyNumberFormat="1" applyFont="1" applyBorder="1">
      <alignment horizontal="center" vertical="center" wrapText="1"/>
    </xf>
    <xf numFmtId="1" fontId="9" fillId="0" borderId="22" xfId="126" applyNumberFormat="1" applyFont="1" applyBorder="1">
      <alignment horizontal="center" vertical="center" wrapText="1"/>
    </xf>
    <xf numFmtId="0" fontId="18" fillId="8" borderId="0" xfId="144" applyFont="1" applyFill="1">
      <alignment horizontal="center" vertical="center" wrapText="1"/>
    </xf>
    <xf numFmtId="0" fontId="13" fillId="0" borderId="0" xfId="154" applyFont="1">
      <alignment horizontal="left" vertical="center" wrapText="1"/>
    </xf>
    <xf numFmtId="0" fontId="29" fillId="0" borderId="0" xfId="0" applyFont="1">
      <alignment vertical="top"/>
    </xf>
    <xf numFmtId="0" fontId="30" fillId="0" borderId="0" xfId="0" applyFont="1">
      <alignment vertical="top"/>
    </xf>
    <xf numFmtId="0" fontId="9" fillId="0" borderId="21" xfId="177" applyFont="1" applyBorder="1">
      <alignment horizontal="left" vertical="center" wrapText="1"/>
    </xf>
    <xf numFmtId="0" fontId="9" fillId="0" borderId="22" xfId="178" applyFont="1" applyBorder="1">
      <alignment horizontal="left" vertical="center" wrapText="1"/>
    </xf>
    <xf numFmtId="0" fontId="40" fillId="8" borderId="23" xfId="116" applyFont="1" applyFill="1" applyBorder="1">
      <alignment horizontal="left" vertical="center" wrapText="1"/>
    </xf>
    <xf numFmtId="0" fontId="40" fillId="0" borderId="0" xfId="119" applyFont="1">
      <alignment horizontal="left" vertical="center" wrapText="1"/>
    </xf>
    <xf numFmtId="0" fontId="41" fillId="0" borderId="0" xfId="0" applyFont="1">
      <alignment vertical="top"/>
    </xf>
    <xf numFmtId="49" fontId="9" fillId="0" borderId="28" xfId="158" applyNumberFormat="1" applyFont="1" applyBorder="1">
      <alignment horizontal="center" vertical="center" wrapText="1"/>
    </xf>
    <xf numFmtId="49" fontId="9" fillId="12" borderId="23" xfId="156" applyNumberFormat="1" applyFont="1" applyFill="1" applyBorder="1">
      <alignment horizontal="center" vertical="center" wrapText="1"/>
    </xf>
    <xf numFmtId="49" fontId="9" fillId="12" borderId="27" xfId="157" applyNumberFormat="1" applyFont="1" applyFill="1" applyBorder="1">
      <alignment horizontal="center" vertical="center" wrapText="1"/>
    </xf>
    <xf numFmtId="0" fontId="9" fillId="12" borderId="26" xfId="185" applyFont="1" applyFill="1" applyBorder="1">
      <alignment horizontal="center" vertical="center" wrapText="1"/>
    </xf>
    <xf numFmtId="0" fontId="9" fillId="12" borderId="32" xfId="190" applyFont="1" applyFill="1" applyBorder="1">
      <alignment horizontal="center" vertical="center" wrapText="1"/>
    </xf>
    <xf numFmtId="0" fontId="12" fillId="0" borderId="13" xfId="180" applyFont="1" applyBorder="1">
      <alignment horizontal="center" vertical="center" wrapText="1"/>
    </xf>
    <xf numFmtId="0" fontId="12" fillId="0" borderId="25" xfId="191" applyFont="1" applyBorder="1">
      <alignment horizontal="center" vertical="center" wrapText="1"/>
    </xf>
    <xf numFmtId="0" fontId="8" fillId="0" borderId="13" xfId="196" applyFont="1" applyBorder="1">
      <alignment horizontal="center" vertical="center" wrapText="1"/>
    </xf>
    <xf numFmtId="0" fontId="9" fillId="12" borderId="11" xfId="179" applyFont="1" applyFill="1" applyBorder="1">
      <alignment horizontal="center" vertical="center" wrapText="1"/>
    </xf>
    <xf numFmtId="0" fontId="9" fillId="12" borderId="27" xfId="183" applyFont="1" applyFill="1" applyBorder="1">
      <alignment horizontal="center" vertical="center" wrapText="1"/>
    </xf>
    <xf numFmtId="0" fontId="9" fillId="12" borderId="22" xfId="188" applyFont="1" applyFill="1" applyBorder="1">
      <alignment horizontal="center" vertical="center" wrapText="1"/>
    </xf>
    <xf numFmtId="0" fontId="9" fillId="12" borderId="24" xfId="184" applyFont="1" applyFill="1" applyBorder="1">
      <alignment horizontal="center" vertical="center" wrapText="1"/>
    </xf>
    <xf numFmtId="0" fontId="42" fillId="0" borderId="11" xfId="34" applyFont="1" applyBorder="1">
      <alignment horizontal="left" vertical="center" wrapText="1"/>
    </xf>
    <xf numFmtId="0" fontId="42" fillId="0" borderId="13" xfId="101" applyFont="1" applyBorder="1">
      <alignment horizontal="center" vertical="center" wrapText="1"/>
    </xf>
    <xf numFmtId="0" fontId="42" fillId="0" borderId="24" xfId="85" applyFont="1" applyBorder="1">
      <alignment horizontal="center" vertical="center" wrapText="1"/>
    </xf>
    <xf numFmtId="0" fontId="42" fillId="0" borderId="26" xfId="182" applyFont="1" applyBorder="1">
      <alignment horizontal="center" vertical="center" wrapText="1"/>
    </xf>
    <xf numFmtId="0" fontId="42" fillId="0" borderId="32" xfId="187" applyFont="1" applyBorder="1">
      <alignment horizontal="center" vertical="center" wrapText="1"/>
    </xf>
    <xf numFmtId="0" fontId="42" fillId="0" borderId="11" xfId="93" applyFont="1" applyBorder="1">
      <alignment horizontal="center" vertical="center" wrapText="1"/>
    </xf>
    <xf numFmtId="0" fontId="42" fillId="0" borderId="27" xfId="181" applyFont="1" applyBorder="1">
      <alignment horizontal="center" vertical="center" wrapText="1"/>
    </xf>
    <xf numFmtId="0" fontId="42" fillId="0" borderId="22" xfId="186" applyFont="1" applyBorder="1">
      <alignment horizontal="center" vertical="center" wrapText="1"/>
    </xf>
    <xf numFmtId="0" fontId="12" fillId="0" borderId="13" xfId="199" applyFont="1" applyBorder="1">
      <alignment horizontal="right" vertical="center" wrapText="1"/>
    </xf>
    <xf numFmtId="0" fontId="9" fillId="0" borderId="13" xfId="142" applyFont="1" applyBorder="1">
      <alignment vertical="center" wrapText="1"/>
    </xf>
    <xf numFmtId="0" fontId="9" fillId="12" borderId="13" xfId="146" applyFont="1" applyFill="1" applyBorder="1">
      <alignment horizontal="center" vertical="center" wrapText="1"/>
    </xf>
    <xf numFmtId="0" fontId="12" fillId="0" borderId="24" xfId="200" applyFont="1" applyBorder="1">
      <alignment horizontal="right" vertical="center" wrapText="1"/>
    </xf>
    <xf numFmtId="0" fontId="9" fillId="0" borderId="21" xfId="216" applyFont="1" applyBorder="1">
      <alignment horizontal="center" vertical="center" wrapText="1"/>
    </xf>
    <xf numFmtId="0" fontId="9" fillId="0" borderId="11" xfId="93" applyFont="1" applyBorder="1">
      <alignment horizontal="center" vertical="center" wrapText="1"/>
    </xf>
    <xf numFmtId="0" fontId="9" fillId="0" borderId="22" xfId="186" applyFont="1" applyBorder="1">
      <alignment horizontal="center" vertical="center" wrapText="1"/>
    </xf>
    <xf numFmtId="0" fontId="46" fillId="0" borderId="11" xfId="223" applyFont="1" applyBorder="1">
      <alignment horizontal="left" vertical="center" wrapText="1"/>
    </xf>
    <xf numFmtId="49" fontId="40" fillId="0" borderId="13" xfId="82" applyNumberFormat="1" applyFont="1" applyBorder="1">
      <alignment horizontal="center" vertical="center" wrapText="1"/>
    </xf>
    <xf numFmtId="49" fontId="40" fillId="0" borderId="21" xfId="224" applyNumberFormat="1" applyFont="1" applyBorder="1">
      <alignment horizontal="center" vertical="center" wrapText="1"/>
    </xf>
    <xf numFmtId="49" fontId="40" fillId="0" borderId="22" xfId="228" applyNumberFormat="1" applyFont="1" applyBorder="1">
      <alignment horizontal="center" vertical="center" wrapText="1"/>
    </xf>
    <xf numFmtId="49" fontId="40" fillId="19" borderId="21" xfId="225" applyNumberFormat="1" applyFont="1" applyFill="1" applyBorder="1">
      <alignment horizontal="center" vertical="center" wrapText="1"/>
    </xf>
    <xf numFmtId="49" fontId="40" fillId="19" borderId="11" xfId="226" applyNumberFormat="1" applyFont="1" applyFill="1" applyBorder="1">
      <alignment horizontal="center" vertical="center" wrapText="1"/>
    </xf>
    <xf numFmtId="49" fontId="40" fillId="19" borderId="22" xfId="227" applyNumberFormat="1" applyFont="1" applyFill="1" applyBorder="1">
      <alignment horizontal="center" vertical="center" wrapText="1"/>
    </xf>
    <xf numFmtId="49" fontId="40" fillId="0" borderId="25" xfId="87" applyNumberFormat="1" applyFont="1" applyBorder="1">
      <alignment horizontal="center" vertical="center" wrapText="1"/>
    </xf>
    <xf numFmtId="49" fontId="40" fillId="0" borderId="24" xfId="127" applyNumberFormat="1" applyFont="1" applyBorder="1">
      <alignment horizontal="center" vertical="center" wrapText="1"/>
    </xf>
  </cellXfs>
  <cellStyles count="262">
    <cellStyle name="s1" xfId="1" xr:uid="{00000000-0005-0000-0000-000001000000}"/>
    <cellStyle name="s10" xfId="10" xr:uid="{00000000-0005-0000-0000-00000A000000}"/>
    <cellStyle name="s100" xfId="100" xr:uid="{00000000-0005-0000-0000-000064000000}"/>
    <cellStyle name="s101" xfId="101" xr:uid="{00000000-0005-0000-0000-000065000000}"/>
    <cellStyle name="s102" xfId="102" xr:uid="{00000000-0005-0000-0000-000066000000}"/>
    <cellStyle name="s103" xfId="103" xr:uid="{00000000-0005-0000-0000-000067000000}"/>
    <cellStyle name="s104" xfId="104" xr:uid="{00000000-0005-0000-0000-000068000000}"/>
    <cellStyle name="s105" xfId="105" xr:uid="{00000000-0005-0000-0000-000069000000}"/>
    <cellStyle name="s106" xfId="106" xr:uid="{00000000-0005-0000-0000-00006A000000}"/>
    <cellStyle name="s107" xfId="107" xr:uid="{00000000-0005-0000-0000-00006B000000}"/>
    <cellStyle name="s108" xfId="108" xr:uid="{00000000-0005-0000-0000-00006C000000}"/>
    <cellStyle name="s109" xfId="109" xr:uid="{00000000-0005-0000-0000-00006D000000}"/>
    <cellStyle name="s11" xfId="11" xr:uid="{00000000-0005-0000-0000-00000B000000}"/>
    <cellStyle name="s110" xfId="110" xr:uid="{00000000-0005-0000-0000-00006E000000}"/>
    <cellStyle name="s111" xfId="111" xr:uid="{00000000-0005-0000-0000-00006F000000}"/>
    <cellStyle name="s112" xfId="112" xr:uid="{00000000-0005-0000-0000-000070000000}"/>
    <cellStyle name="s113" xfId="113" xr:uid="{00000000-0005-0000-0000-000071000000}"/>
    <cellStyle name="s114" xfId="114" xr:uid="{00000000-0005-0000-0000-000072000000}"/>
    <cellStyle name="s115" xfId="115" xr:uid="{00000000-0005-0000-0000-000073000000}"/>
    <cellStyle name="s116" xfId="116" xr:uid="{00000000-0005-0000-0000-000074000000}"/>
    <cellStyle name="s117" xfId="117" xr:uid="{00000000-0005-0000-0000-000075000000}"/>
    <cellStyle name="s118" xfId="118" xr:uid="{00000000-0005-0000-0000-000076000000}"/>
    <cellStyle name="s119" xfId="119" xr:uid="{00000000-0005-0000-0000-000077000000}"/>
    <cellStyle name="s12" xfId="12" xr:uid="{00000000-0005-0000-0000-00000C000000}"/>
    <cellStyle name="s120" xfId="120" xr:uid="{00000000-0005-0000-0000-000078000000}"/>
    <cellStyle name="s121" xfId="121" xr:uid="{00000000-0005-0000-0000-000079000000}"/>
    <cellStyle name="s122" xfId="122" xr:uid="{00000000-0005-0000-0000-00007A000000}"/>
    <cellStyle name="s123" xfId="123" xr:uid="{00000000-0005-0000-0000-00007B000000}"/>
    <cellStyle name="s124" xfId="124" xr:uid="{00000000-0005-0000-0000-00007C000000}"/>
    <cellStyle name="s125" xfId="125" xr:uid="{00000000-0005-0000-0000-00007D000000}"/>
    <cellStyle name="s126" xfId="126" xr:uid="{00000000-0005-0000-0000-00007E000000}"/>
    <cellStyle name="s127" xfId="127" xr:uid="{00000000-0005-0000-0000-00007F000000}"/>
    <cellStyle name="s128" xfId="128" xr:uid="{00000000-0005-0000-0000-000080000000}"/>
    <cellStyle name="s129" xfId="129" xr:uid="{00000000-0005-0000-0000-000081000000}"/>
    <cellStyle name="s13" xfId="13" xr:uid="{00000000-0005-0000-0000-00000D000000}"/>
    <cellStyle name="s130" xfId="130" xr:uid="{00000000-0005-0000-0000-000082000000}"/>
    <cellStyle name="s131" xfId="131" xr:uid="{00000000-0005-0000-0000-000083000000}"/>
    <cellStyle name="s132" xfId="132" xr:uid="{00000000-0005-0000-0000-000084000000}"/>
    <cellStyle name="s133" xfId="133" xr:uid="{00000000-0005-0000-0000-000085000000}"/>
    <cellStyle name="s134" xfId="134" xr:uid="{00000000-0005-0000-0000-000086000000}"/>
    <cellStyle name="s135" xfId="135" xr:uid="{00000000-0005-0000-0000-000087000000}"/>
    <cellStyle name="s136" xfId="136" xr:uid="{00000000-0005-0000-0000-000088000000}"/>
    <cellStyle name="s137" xfId="137" xr:uid="{00000000-0005-0000-0000-000089000000}"/>
    <cellStyle name="s138" xfId="138" xr:uid="{00000000-0005-0000-0000-00008A000000}"/>
    <cellStyle name="s139" xfId="139" xr:uid="{00000000-0005-0000-0000-00008B000000}"/>
    <cellStyle name="s14" xfId="14" xr:uid="{00000000-0005-0000-0000-00000E000000}"/>
    <cellStyle name="s140" xfId="140" xr:uid="{00000000-0005-0000-0000-00008C000000}"/>
    <cellStyle name="s141" xfId="141" xr:uid="{00000000-0005-0000-0000-00008D000000}"/>
    <cellStyle name="s142" xfId="142" xr:uid="{00000000-0005-0000-0000-00008E000000}"/>
    <cellStyle name="s143" xfId="143" xr:uid="{00000000-0005-0000-0000-00008F000000}"/>
    <cellStyle name="s144" xfId="144" xr:uid="{00000000-0005-0000-0000-000090000000}"/>
    <cellStyle name="s145" xfId="145" xr:uid="{00000000-0005-0000-0000-000091000000}"/>
    <cellStyle name="s146" xfId="146" xr:uid="{00000000-0005-0000-0000-000092000000}"/>
    <cellStyle name="s147" xfId="147" xr:uid="{00000000-0005-0000-0000-000093000000}"/>
    <cellStyle name="s148" xfId="148" xr:uid="{00000000-0005-0000-0000-000094000000}"/>
    <cellStyle name="s149" xfId="149" xr:uid="{00000000-0005-0000-0000-000095000000}"/>
    <cellStyle name="s15" xfId="15" xr:uid="{00000000-0005-0000-0000-00000F000000}"/>
    <cellStyle name="s150" xfId="150" xr:uid="{00000000-0005-0000-0000-000096000000}"/>
    <cellStyle name="s151" xfId="151" xr:uid="{00000000-0005-0000-0000-000097000000}"/>
    <cellStyle name="s152" xfId="152" xr:uid="{00000000-0005-0000-0000-000098000000}"/>
    <cellStyle name="s153" xfId="153" xr:uid="{00000000-0005-0000-0000-000099000000}"/>
    <cellStyle name="s154" xfId="154" xr:uid="{00000000-0005-0000-0000-00009A000000}"/>
    <cellStyle name="s155" xfId="155" xr:uid="{00000000-0005-0000-0000-00009B000000}"/>
    <cellStyle name="s156" xfId="156" xr:uid="{00000000-0005-0000-0000-00009C000000}"/>
    <cellStyle name="s157" xfId="157" xr:uid="{00000000-0005-0000-0000-00009D000000}"/>
    <cellStyle name="s158" xfId="158" xr:uid="{00000000-0005-0000-0000-00009E000000}"/>
    <cellStyle name="s159" xfId="159" xr:uid="{00000000-0005-0000-0000-00009F000000}"/>
    <cellStyle name="s16" xfId="16" xr:uid="{00000000-0005-0000-0000-000010000000}"/>
    <cellStyle name="s160" xfId="160" xr:uid="{00000000-0005-0000-0000-0000A0000000}"/>
    <cellStyle name="s161" xfId="161" xr:uid="{00000000-0005-0000-0000-0000A1000000}"/>
    <cellStyle name="s162" xfId="162" xr:uid="{00000000-0005-0000-0000-0000A2000000}"/>
    <cellStyle name="s163" xfId="163" xr:uid="{00000000-0005-0000-0000-0000A3000000}"/>
    <cellStyle name="s164" xfId="164" xr:uid="{00000000-0005-0000-0000-0000A4000000}"/>
    <cellStyle name="s165" xfId="165" xr:uid="{00000000-0005-0000-0000-0000A5000000}"/>
    <cellStyle name="s166" xfId="166" xr:uid="{00000000-0005-0000-0000-0000A6000000}"/>
    <cellStyle name="s167" xfId="167" xr:uid="{00000000-0005-0000-0000-0000A7000000}"/>
    <cellStyle name="s168" xfId="168" xr:uid="{00000000-0005-0000-0000-0000A8000000}"/>
    <cellStyle name="s169" xfId="169" xr:uid="{00000000-0005-0000-0000-0000A9000000}"/>
    <cellStyle name="s17" xfId="17" xr:uid="{00000000-0005-0000-0000-000011000000}"/>
    <cellStyle name="s170" xfId="170" xr:uid="{00000000-0005-0000-0000-0000AA000000}"/>
    <cellStyle name="s171" xfId="171" xr:uid="{00000000-0005-0000-0000-0000AB000000}"/>
    <cellStyle name="s172" xfId="172" xr:uid="{00000000-0005-0000-0000-0000AC000000}"/>
    <cellStyle name="s173" xfId="173" xr:uid="{00000000-0005-0000-0000-0000AD000000}"/>
    <cellStyle name="s174" xfId="174" xr:uid="{00000000-0005-0000-0000-0000AE000000}"/>
    <cellStyle name="s175" xfId="175" xr:uid="{00000000-0005-0000-0000-0000AF000000}"/>
    <cellStyle name="s176" xfId="176" xr:uid="{00000000-0005-0000-0000-0000B0000000}"/>
    <cellStyle name="s177" xfId="177" xr:uid="{00000000-0005-0000-0000-0000B1000000}"/>
    <cellStyle name="s178" xfId="178" xr:uid="{00000000-0005-0000-0000-0000B2000000}"/>
    <cellStyle name="s179" xfId="179" xr:uid="{00000000-0005-0000-0000-0000B3000000}"/>
    <cellStyle name="s18" xfId="18" xr:uid="{00000000-0005-0000-0000-000012000000}"/>
    <cellStyle name="s180" xfId="180" xr:uid="{00000000-0005-0000-0000-0000B4000000}"/>
    <cellStyle name="s181" xfId="181" xr:uid="{00000000-0005-0000-0000-0000B5000000}"/>
    <cellStyle name="s182" xfId="182" xr:uid="{00000000-0005-0000-0000-0000B6000000}"/>
    <cellStyle name="s183" xfId="183" xr:uid="{00000000-0005-0000-0000-0000B7000000}"/>
    <cellStyle name="s184" xfId="184" xr:uid="{00000000-0005-0000-0000-0000B8000000}"/>
    <cellStyle name="s185" xfId="185" xr:uid="{00000000-0005-0000-0000-0000B9000000}"/>
    <cellStyle name="s186" xfId="186" xr:uid="{00000000-0005-0000-0000-0000BA000000}"/>
    <cellStyle name="s187" xfId="187" xr:uid="{00000000-0005-0000-0000-0000BB000000}"/>
    <cellStyle name="s188" xfId="188" xr:uid="{00000000-0005-0000-0000-0000BC000000}"/>
    <cellStyle name="s189" xfId="189" xr:uid="{00000000-0005-0000-0000-0000BD000000}"/>
    <cellStyle name="s19" xfId="19" xr:uid="{00000000-0005-0000-0000-000013000000}"/>
    <cellStyle name="s190" xfId="190" xr:uid="{00000000-0005-0000-0000-0000BE000000}"/>
    <cellStyle name="s191" xfId="191" xr:uid="{00000000-0005-0000-0000-0000BF000000}"/>
    <cellStyle name="s192" xfId="192" xr:uid="{00000000-0005-0000-0000-0000C0000000}"/>
    <cellStyle name="s193" xfId="193" xr:uid="{00000000-0005-0000-0000-0000C1000000}"/>
    <cellStyle name="s194" xfId="194" xr:uid="{00000000-0005-0000-0000-0000C2000000}"/>
    <cellStyle name="s195" xfId="195" xr:uid="{00000000-0005-0000-0000-0000C3000000}"/>
    <cellStyle name="s196" xfId="196" xr:uid="{00000000-0005-0000-0000-0000C4000000}"/>
    <cellStyle name="s197" xfId="197" xr:uid="{00000000-0005-0000-0000-0000C5000000}"/>
    <cellStyle name="s198" xfId="198" xr:uid="{00000000-0005-0000-0000-0000C6000000}"/>
    <cellStyle name="s199" xfId="199" xr:uid="{00000000-0005-0000-0000-0000C7000000}"/>
    <cellStyle name="s2" xfId="2" xr:uid="{00000000-0005-0000-0000-000002000000}"/>
    <cellStyle name="s20" xfId="20" xr:uid="{00000000-0005-0000-0000-000014000000}"/>
    <cellStyle name="s200" xfId="200" xr:uid="{00000000-0005-0000-0000-0000C8000000}"/>
    <cellStyle name="s201" xfId="201" xr:uid="{00000000-0005-0000-0000-0000C9000000}"/>
    <cellStyle name="s202" xfId="202" xr:uid="{00000000-0005-0000-0000-0000CA000000}"/>
    <cellStyle name="s203" xfId="203" xr:uid="{00000000-0005-0000-0000-0000CB000000}"/>
    <cellStyle name="s204" xfId="204" xr:uid="{00000000-0005-0000-0000-0000CC000000}"/>
    <cellStyle name="s205" xfId="205" xr:uid="{00000000-0005-0000-0000-0000CD000000}"/>
    <cellStyle name="s206" xfId="206" xr:uid="{00000000-0005-0000-0000-0000CE000000}"/>
    <cellStyle name="s207" xfId="207" xr:uid="{00000000-0005-0000-0000-0000CF000000}"/>
    <cellStyle name="s208" xfId="208" xr:uid="{00000000-0005-0000-0000-0000D0000000}"/>
    <cellStyle name="s209" xfId="209" xr:uid="{00000000-0005-0000-0000-0000D1000000}"/>
    <cellStyle name="s21" xfId="21" xr:uid="{00000000-0005-0000-0000-000015000000}"/>
    <cellStyle name="s210" xfId="210" xr:uid="{00000000-0005-0000-0000-0000D2000000}"/>
    <cellStyle name="s211" xfId="211" xr:uid="{00000000-0005-0000-0000-0000D3000000}"/>
    <cellStyle name="s212" xfId="212" xr:uid="{00000000-0005-0000-0000-0000D4000000}"/>
    <cellStyle name="s213" xfId="213" xr:uid="{00000000-0005-0000-0000-0000D5000000}"/>
    <cellStyle name="s214" xfId="214" xr:uid="{00000000-0005-0000-0000-0000D6000000}"/>
    <cellStyle name="s215" xfId="215" xr:uid="{00000000-0005-0000-0000-0000D7000000}"/>
    <cellStyle name="s216" xfId="216" xr:uid="{00000000-0005-0000-0000-0000D8000000}"/>
    <cellStyle name="s217" xfId="217" xr:uid="{00000000-0005-0000-0000-0000D9000000}"/>
    <cellStyle name="s218" xfId="218" xr:uid="{00000000-0005-0000-0000-0000DA000000}"/>
    <cellStyle name="s219" xfId="219" xr:uid="{00000000-0005-0000-0000-0000DB000000}"/>
    <cellStyle name="s22" xfId="22" xr:uid="{00000000-0005-0000-0000-000016000000}"/>
    <cellStyle name="s220" xfId="220" xr:uid="{00000000-0005-0000-0000-0000DC000000}"/>
    <cellStyle name="s221" xfId="221" xr:uid="{00000000-0005-0000-0000-0000DD000000}"/>
    <cellStyle name="s222" xfId="222" xr:uid="{00000000-0005-0000-0000-0000DE000000}"/>
    <cellStyle name="s223" xfId="223" xr:uid="{00000000-0005-0000-0000-0000DF000000}"/>
    <cellStyle name="s224" xfId="224" xr:uid="{00000000-0005-0000-0000-0000E0000000}"/>
    <cellStyle name="s225" xfId="225" xr:uid="{00000000-0005-0000-0000-0000E1000000}"/>
    <cellStyle name="s226" xfId="226" xr:uid="{00000000-0005-0000-0000-0000E2000000}"/>
    <cellStyle name="s227" xfId="227" xr:uid="{00000000-0005-0000-0000-0000E3000000}"/>
    <cellStyle name="s228" xfId="228" xr:uid="{00000000-0005-0000-0000-0000E4000000}"/>
    <cellStyle name="s229" xfId="229" xr:uid="{00000000-0005-0000-0000-0000E5000000}"/>
    <cellStyle name="s23" xfId="23" xr:uid="{00000000-0005-0000-0000-000017000000}"/>
    <cellStyle name="s230" xfId="230" xr:uid="{00000000-0005-0000-0000-0000E6000000}"/>
    <cellStyle name="s231" xfId="231" xr:uid="{00000000-0005-0000-0000-0000E7000000}"/>
    <cellStyle name="s232" xfId="232" xr:uid="{00000000-0005-0000-0000-0000E8000000}"/>
    <cellStyle name="s233" xfId="233" xr:uid="{00000000-0005-0000-0000-0000E9000000}"/>
    <cellStyle name="s234" xfId="234" xr:uid="{00000000-0005-0000-0000-0000EA000000}"/>
    <cellStyle name="s235" xfId="235" xr:uid="{00000000-0005-0000-0000-0000EB000000}"/>
    <cellStyle name="s236" xfId="236" xr:uid="{00000000-0005-0000-0000-0000EC000000}"/>
    <cellStyle name="s237" xfId="237" xr:uid="{00000000-0005-0000-0000-0000ED000000}"/>
    <cellStyle name="s238" xfId="238" xr:uid="{00000000-0005-0000-0000-0000EE000000}"/>
    <cellStyle name="s239" xfId="239" xr:uid="{00000000-0005-0000-0000-0000EF000000}"/>
    <cellStyle name="s24" xfId="24" xr:uid="{00000000-0005-0000-0000-000018000000}"/>
    <cellStyle name="s240" xfId="240" xr:uid="{00000000-0005-0000-0000-0000F0000000}"/>
    <cellStyle name="s241" xfId="241" xr:uid="{00000000-0005-0000-0000-0000F1000000}"/>
    <cellStyle name="s242" xfId="242" xr:uid="{00000000-0005-0000-0000-0000F2000000}"/>
    <cellStyle name="s243" xfId="243" xr:uid="{00000000-0005-0000-0000-0000F3000000}"/>
    <cellStyle name="s244" xfId="244" xr:uid="{00000000-0005-0000-0000-0000F4000000}"/>
    <cellStyle name="s245" xfId="245" xr:uid="{00000000-0005-0000-0000-0000F5000000}"/>
    <cellStyle name="s246" xfId="246" xr:uid="{00000000-0005-0000-0000-0000F6000000}"/>
    <cellStyle name="s247" xfId="247" xr:uid="{00000000-0005-0000-0000-0000F7000000}"/>
    <cellStyle name="s248" xfId="248" xr:uid="{00000000-0005-0000-0000-0000F8000000}"/>
    <cellStyle name="s249" xfId="249" xr:uid="{00000000-0005-0000-0000-0000F9000000}"/>
    <cellStyle name="s25" xfId="25" xr:uid="{00000000-0005-0000-0000-000019000000}"/>
    <cellStyle name="s250" xfId="250" xr:uid="{00000000-0005-0000-0000-0000FA000000}"/>
    <cellStyle name="s251" xfId="251" xr:uid="{00000000-0005-0000-0000-0000FB000000}"/>
    <cellStyle name="s252" xfId="252" xr:uid="{00000000-0005-0000-0000-0000FC000000}"/>
    <cellStyle name="s253" xfId="253" xr:uid="{00000000-0005-0000-0000-0000FD000000}"/>
    <cellStyle name="s254" xfId="254" xr:uid="{00000000-0005-0000-0000-0000FE000000}"/>
    <cellStyle name="s255" xfId="255" xr:uid="{00000000-0005-0000-0000-0000FF000000}"/>
    <cellStyle name="s256" xfId="256" xr:uid="{00000000-0005-0000-0000-000000010000}"/>
    <cellStyle name="s257" xfId="257" xr:uid="{00000000-0005-0000-0000-000001010000}"/>
    <cellStyle name="s258" xfId="258" xr:uid="{00000000-0005-0000-0000-000002010000}"/>
    <cellStyle name="s259" xfId="259" xr:uid="{00000000-0005-0000-0000-000003010000}"/>
    <cellStyle name="s26" xfId="26" xr:uid="{00000000-0005-0000-0000-00001A000000}"/>
    <cellStyle name="s260" xfId="260" xr:uid="{00000000-0005-0000-0000-000004010000}"/>
    <cellStyle name="s261" xfId="261" xr:uid="{00000000-0005-0000-0000-000005010000}"/>
    <cellStyle name="s27" xfId="27" xr:uid="{00000000-0005-0000-0000-00001B000000}"/>
    <cellStyle name="s28" xfId="28" xr:uid="{00000000-0005-0000-0000-00001C000000}"/>
    <cellStyle name="s29" xfId="29" xr:uid="{00000000-0005-0000-0000-00001D000000}"/>
    <cellStyle name="s3" xfId="3" xr:uid="{00000000-0005-0000-0000-000003000000}"/>
    <cellStyle name="s30" xfId="30" xr:uid="{00000000-0005-0000-0000-00001E000000}"/>
    <cellStyle name="s31" xfId="31" xr:uid="{00000000-0005-0000-0000-00001F000000}"/>
    <cellStyle name="s32" xfId="32" xr:uid="{00000000-0005-0000-0000-000020000000}"/>
    <cellStyle name="s33" xfId="33" xr:uid="{00000000-0005-0000-0000-000021000000}"/>
    <cellStyle name="s34" xfId="34" xr:uid="{00000000-0005-0000-0000-000022000000}"/>
    <cellStyle name="s35" xfId="35" xr:uid="{00000000-0005-0000-0000-000023000000}"/>
    <cellStyle name="s36" xfId="36" xr:uid="{00000000-0005-0000-0000-000024000000}"/>
    <cellStyle name="s37" xfId="37" xr:uid="{00000000-0005-0000-0000-000025000000}"/>
    <cellStyle name="s38" xfId="38" xr:uid="{00000000-0005-0000-0000-000026000000}"/>
    <cellStyle name="s39" xfId="39" xr:uid="{00000000-0005-0000-0000-000027000000}"/>
    <cellStyle name="s4" xfId="4" xr:uid="{00000000-0005-0000-0000-000004000000}"/>
    <cellStyle name="s40" xfId="40" xr:uid="{00000000-0005-0000-0000-000028000000}"/>
    <cellStyle name="s41" xfId="41" xr:uid="{00000000-0005-0000-0000-000029000000}"/>
    <cellStyle name="s42" xfId="42" xr:uid="{00000000-0005-0000-0000-00002A000000}"/>
    <cellStyle name="s43" xfId="43" xr:uid="{00000000-0005-0000-0000-00002B000000}"/>
    <cellStyle name="s44" xfId="44" xr:uid="{00000000-0005-0000-0000-00002C000000}"/>
    <cellStyle name="s45" xfId="45" xr:uid="{00000000-0005-0000-0000-00002D000000}"/>
    <cellStyle name="s46" xfId="46" xr:uid="{00000000-0005-0000-0000-00002E000000}"/>
    <cellStyle name="s47" xfId="47" xr:uid="{00000000-0005-0000-0000-00002F000000}"/>
    <cellStyle name="s48" xfId="48" xr:uid="{00000000-0005-0000-0000-000030000000}"/>
    <cellStyle name="s49" xfId="49" xr:uid="{00000000-0005-0000-0000-000031000000}"/>
    <cellStyle name="s5" xfId="5" xr:uid="{00000000-0005-0000-0000-000005000000}"/>
    <cellStyle name="s50" xfId="50" xr:uid="{00000000-0005-0000-0000-000032000000}"/>
    <cellStyle name="s51" xfId="51" xr:uid="{00000000-0005-0000-0000-000033000000}"/>
    <cellStyle name="s52" xfId="52" xr:uid="{00000000-0005-0000-0000-000034000000}"/>
    <cellStyle name="s53" xfId="53" xr:uid="{00000000-0005-0000-0000-000035000000}"/>
    <cellStyle name="s54" xfId="54" xr:uid="{00000000-0005-0000-0000-000036000000}"/>
    <cellStyle name="s55" xfId="55" xr:uid="{00000000-0005-0000-0000-000037000000}"/>
    <cellStyle name="s56" xfId="56" xr:uid="{00000000-0005-0000-0000-000038000000}"/>
    <cellStyle name="s57" xfId="57" xr:uid="{00000000-0005-0000-0000-000039000000}"/>
    <cellStyle name="s58" xfId="58" xr:uid="{00000000-0005-0000-0000-00003A000000}"/>
    <cellStyle name="s59" xfId="59" xr:uid="{00000000-0005-0000-0000-00003B000000}"/>
    <cellStyle name="s6" xfId="6" xr:uid="{00000000-0005-0000-0000-000006000000}"/>
    <cellStyle name="s60" xfId="60" xr:uid="{00000000-0005-0000-0000-00003C000000}"/>
    <cellStyle name="s61" xfId="61" xr:uid="{00000000-0005-0000-0000-00003D000000}"/>
    <cellStyle name="s62" xfId="62" xr:uid="{00000000-0005-0000-0000-00003E000000}"/>
    <cellStyle name="s63" xfId="63" xr:uid="{00000000-0005-0000-0000-00003F000000}"/>
    <cellStyle name="s64" xfId="64" xr:uid="{00000000-0005-0000-0000-000040000000}"/>
    <cellStyle name="s65" xfId="65" xr:uid="{00000000-0005-0000-0000-000041000000}"/>
    <cellStyle name="s66" xfId="66" xr:uid="{00000000-0005-0000-0000-000042000000}"/>
    <cellStyle name="s67" xfId="67" xr:uid="{00000000-0005-0000-0000-000043000000}"/>
    <cellStyle name="s68" xfId="68" xr:uid="{00000000-0005-0000-0000-000044000000}"/>
    <cellStyle name="s69" xfId="69" xr:uid="{00000000-0005-0000-0000-000045000000}"/>
    <cellStyle name="s7" xfId="7" xr:uid="{00000000-0005-0000-0000-000007000000}"/>
    <cellStyle name="s70" xfId="70" xr:uid="{00000000-0005-0000-0000-000046000000}"/>
    <cellStyle name="s71" xfId="71" xr:uid="{00000000-0005-0000-0000-000047000000}"/>
    <cellStyle name="s72" xfId="72" xr:uid="{00000000-0005-0000-0000-000048000000}"/>
    <cellStyle name="s73" xfId="73" xr:uid="{00000000-0005-0000-0000-000049000000}"/>
    <cellStyle name="s74" xfId="74" xr:uid="{00000000-0005-0000-0000-00004A000000}"/>
    <cellStyle name="s75" xfId="75" xr:uid="{00000000-0005-0000-0000-00004B000000}"/>
    <cellStyle name="s76" xfId="76" xr:uid="{00000000-0005-0000-0000-00004C000000}"/>
    <cellStyle name="s77" xfId="77" xr:uid="{00000000-0005-0000-0000-00004D000000}"/>
    <cellStyle name="s78" xfId="78" xr:uid="{00000000-0005-0000-0000-00004E000000}"/>
    <cellStyle name="s79" xfId="79" xr:uid="{00000000-0005-0000-0000-00004F000000}"/>
    <cellStyle name="s8" xfId="8" xr:uid="{00000000-0005-0000-0000-000008000000}"/>
    <cellStyle name="s80" xfId="80" xr:uid="{00000000-0005-0000-0000-000050000000}"/>
    <cellStyle name="s81" xfId="81" xr:uid="{00000000-0005-0000-0000-000051000000}"/>
    <cellStyle name="s82" xfId="82" xr:uid="{00000000-0005-0000-0000-000052000000}"/>
    <cellStyle name="s83" xfId="83" xr:uid="{00000000-0005-0000-0000-000053000000}"/>
    <cellStyle name="s84" xfId="84" xr:uid="{00000000-0005-0000-0000-000054000000}"/>
    <cellStyle name="s85" xfId="85" xr:uid="{00000000-0005-0000-0000-000055000000}"/>
    <cellStyle name="s86" xfId="86" xr:uid="{00000000-0005-0000-0000-000056000000}"/>
    <cellStyle name="s87" xfId="87" xr:uid="{00000000-0005-0000-0000-000057000000}"/>
    <cellStyle name="s88" xfId="88" xr:uid="{00000000-0005-0000-0000-000058000000}"/>
    <cellStyle name="s89" xfId="89" xr:uid="{00000000-0005-0000-0000-000059000000}"/>
    <cellStyle name="s9" xfId="9" xr:uid="{00000000-0005-0000-0000-000009000000}"/>
    <cellStyle name="s90" xfId="90" xr:uid="{00000000-0005-0000-0000-00005A000000}"/>
    <cellStyle name="s91" xfId="91" xr:uid="{00000000-0005-0000-0000-00005B000000}"/>
    <cellStyle name="s92" xfId="92" xr:uid="{00000000-0005-0000-0000-00005C000000}"/>
    <cellStyle name="s93" xfId="93" xr:uid="{00000000-0005-0000-0000-00005D000000}"/>
    <cellStyle name="s94" xfId="94" xr:uid="{00000000-0005-0000-0000-00005E000000}"/>
    <cellStyle name="s95" xfId="95" xr:uid="{00000000-0005-0000-0000-00005F000000}"/>
    <cellStyle name="s96" xfId="96" xr:uid="{00000000-0005-0000-0000-000060000000}"/>
    <cellStyle name="s97" xfId="97" xr:uid="{00000000-0005-0000-0000-000061000000}"/>
    <cellStyle name="s98" xfId="98" xr:uid="{00000000-0005-0000-0000-000062000000}"/>
    <cellStyle name="s99" xfId="99" xr:uid="{00000000-0005-0000-0000-00006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regportal-tariff.ru/disclo/get_file?p_guid=d3adba19-ee6a-4165-8e3b-04bc5e83c642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regportal-tariff.ru/disclo/get_file?p_guid=0b3bc7ed-53e5-4129-8972-ace9162e5d98" TargetMode="External"/><Relationship Id="rId7" Type="http://schemas.openxmlformats.org/officeDocument/2006/relationships/hyperlink" Target="https://regportal-tariff.ru/disclo/get_file?p_guid=bb432388-86c2-4f74-96c2-9dc4566a3e0b" TargetMode="External"/><Relationship Id="rId12" Type="http://schemas.openxmlformats.org/officeDocument/2006/relationships/hyperlink" Target="https://regportal-tariff.ru/disclo/get_file?p_guid=09f58d97-f372-4774-94f9-bb55a5943e1e" TargetMode="External"/><Relationship Id="rId2" Type="http://schemas.openxmlformats.org/officeDocument/2006/relationships/hyperlink" Target="https://regportal-tariff.ru/disclo/get_file?p_guid=4bf57610-f18f-4a23-b758-c293c81c3915" TargetMode="External"/><Relationship Id="rId1" Type="http://schemas.openxmlformats.org/officeDocument/2006/relationships/hyperlink" Target="https://regportal-tariff.ru/disclo/get_file?p_guid=aa2245d0-d5f2-4ce3-a51c-687c950eda6f" TargetMode="External"/><Relationship Id="rId6" Type="http://schemas.openxmlformats.org/officeDocument/2006/relationships/hyperlink" Target="https://regportal-tariff.ru/disclo/get_file?p_guid=45dee646-236f-439e-b617-71ae58a49235" TargetMode="External"/><Relationship Id="rId11" Type="http://schemas.openxmlformats.org/officeDocument/2006/relationships/hyperlink" Target="https://regportal-tariff.ru/disclo/get_file?p_guid=f7741fda-b01a-4bc7-a247-6a3d4f186426" TargetMode="External"/><Relationship Id="rId5" Type="http://schemas.openxmlformats.org/officeDocument/2006/relationships/hyperlink" Target="https://regportal-tariff.ru/disclo/get_file?p_guid=47d24168-e657-4deb-8ffa-9e95b977543b" TargetMode="External"/><Relationship Id="rId10" Type="http://schemas.openxmlformats.org/officeDocument/2006/relationships/hyperlink" Target="https://regportal-tariff.ru/disclo/get_file?p_guid=87f68d78-973d-458b-8e93-20edabae3937" TargetMode="External"/><Relationship Id="rId4" Type="http://schemas.openxmlformats.org/officeDocument/2006/relationships/hyperlink" Target="https://regportal-tariff.ru/disclo/get_file?p_guid=290a78cf-4e15-42f3-90f4-229c3f9c123b" TargetMode="External"/><Relationship Id="rId9" Type="http://schemas.openxmlformats.org/officeDocument/2006/relationships/hyperlink" Target="https://regportal-tariff.ru/disclo/get_file?p_guid=816d0612-aa4a-4068-b3f8-c11ff4a7784d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1801-65D4-B2E5-B204-32ECEC697567}">
  <sheetPr>
    <tabColor theme="0" tint="-4.9989318521683403E-2"/>
  </sheetPr>
  <dimension ref="B1:AA16"/>
  <sheetViews>
    <sheetView showGridLines="0" showRowColHeaders="0" workbookViewId="0"/>
  </sheetViews>
  <sheetFormatPr defaultColWidth="9.140625" defaultRowHeight="14.25" customHeight="1" x14ac:dyDescent="0.25"/>
  <cols>
    <col min="1" max="1" width="3.28515625" customWidth="1"/>
    <col min="2" max="2" width="8.7109375" customWidth="1"/>
    <col min="3" max="3" width="12.28515625" customWidth="1"/>
    <col min="4" max="25" width="5.7109375" customWidth="1"/>
  </cols>
  <sheetData>
    <row r="1" spans="2:27" ht="26.25" customHeight="1" x14ac:dyDescent="0.2"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AA1" s="3" t="s">
        <v>0</v>
      </c>
    </row>
    <row r="2" spans="2:27" ht="16.5" customHeight="1" x14ac:dyDescent="0.25">
      <c r="B2" s="253" t="s">
        <v>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2:27" ht="18" customHeight="1" x14ac:dyDescent="0.25">
      <c r="B3" s="253" t="s">
        <v>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2:27" ht="6" customHeight="1" x14ac:dyDescent="0.25"/>
    <row r="5" spans="2:27" ht="32.25" customHeight="1" x14ac:dyDescent="0.25">
      <c r="B5" s="254" t="s">
        <v>3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6"/>
    </row>
    <row r="6" spans="2:27" ht="6" customHeight="1" x14ac:dyDescent="0.2">
      <c r="B6" s="257" t="s">
        <v>4</v>
      </c>
      <c r="C6" s="258"/>
      <c r="Z6" s="4"/>
    </row>
    <row r="7" spans="2:27" ht="21" customHeight="1" x14ac:dyDescent="0.2">
      <c r="B7" s="257"/>
      <c r="C7" s="258"/>
      <c r="Z7" s="4"/>
    </row>
    <row r="8" spans="2:27" ht="15" customHeight="1" x14ac:dyDescent="0.2">
      <c r="B8" s="257"/>
      <c r="C8" s="258"/>
      <c r="E8" s="5" t="s">
        <v>5</v>
      </c>
      <c r="F8" s="260" t="s">
        <v>6</v>
      </c>
      <c r="G8" s="252"/>
      <c r="H8" s="252"/>
      <c r="I8" s="252"/>
      <c r="J8" s="252"/>
      <c r="K8" s="252"/>
      <c r="L8" s="252"/>
      <c r="M8" s="252"/>
      <c r="O8" s="6" t="s">
        <v>5</v>
      </c>
      <c r="P8" s="261" t="s">
        <v>7</v>
      </c>
      <c r="Q8" s="252"/>
      <c r="R8" s="252"/>
      <c r="S8" s="252"/>
      <c r="T8" s="252"/>
      <c r="U8" s="252"/>
      <c r="V8" s="252"/>
      <c r="W8" s="252"/>
      <c r="X8" s="252"/>
      <c r="Z8" s="4"/>
    </row>
    <row r="9" spans="2:27" ht="15" customHeight="1" x14ac:dyDescent="0.2">
      <c r="B9" s="257"/>
      <c r="C9" s="258"/>
      <c r="E9" s="7" t="s">
        <v>5</v>
      </c>
      <c r="F9" s="260" t="s">
        <v>8</v>
      </c>
      <c r="G9" s="252"/>
      <c r="H9" s="252"/>
      <c r="I9" s="252"/>
      <c r="J9" s="252"/>
      <c r="K9" s="252"/>
      <c r="L9" s="252"/>
      <c r="M9" s="252"/>
      <c r="O9" s="8" t="s">
        <v>5</v>
      </c>
      <c r="P9" s="261" t="s">
        <v>9</v>
      </c>
      <c r="Q9" s="252"/>
      <c r="R9" s="252"/>
      <c r="S9" s="252"/>
      <c r="T9" s="252"/>
      <c r="U9" s="252"/>
      <c r="V9" s="252"/>
      <c r="W9" s="252"/>
      <c r="X9" s="252"/>
      <c r="Z9" s="4"/>
    </row>
    <row r="10" spans="2:27" ht="21" customHeight="1" x14ac:dyDescent="0.2">
      <c r="B10" s="257"/>
      <c r="C10" s="259"/>
      <c r="D10" s="9"/>
      <c r="E10" s="10"/>
      <c r="O10" s="10"/>
      <c r="Z10" s="4"/>
    </row>
    <row r="11" spans="2:27" ht="6" customHeight="1" x14ac:dyDescent="0.2">
      <c r="B11" s="262" t="s">
        <v>10</v>
      </c>
      <c r="C11" s="263"/>
      <c r="Z11" s="4"/>
    </row>
    <row r="12" spans="2:27" ht="72" customHeight="1" x14ac:dyDescent="0.2">
      <c r="B12" s="257"/>
      <c r="C12" s="259"/>
      <c r="D12" s="11"/>
      <c r="E12" s="264" t="s">
        <v>11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Z12" s="4"/>
    </row>
    <row r="13" spans="2:27" ht="6" customHeight="1" x14ac:dyDescent="0.2">
      <c r="B13" s="262" t="s">
        <v>12</v>
      </c>
      <c r="C13" s="263"/>
      <c r="Z13" s="4"/>
    </row>
    <row r="14" spans="2:27" ht="66" customHeight="1" x14ac:dyDescent="0.2">
      <c r="B14" s="257"/>
      <c r="C14" s="258"/>
      <c r="E14" s="251" t="s">
        <v>13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Z14" s="4"/>
    </row>
    <row r="15" spans="2:27" ht="6" customHeight="1" x14ac:dyDescent="0.2">
      <c r="B15" s="265"/>
      <c r="C15" s="266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4"/>
    </row>
    <row r="16" spans="2:27" ht="102" customHeight="1" x14ac:dyDescent="0.25">
      <c r="B16" s="251" t="str">
        <f>"Правообладатель шаблона - ООО «Платформа» (ОГРН 1147746709153). "&amp;IF(REGION_NAME="","","
Данный шаблон предоставлен в использование исключительно для сбора информации с регулируемых организаций на территории субъекта РФ: "&amp;REGION_NAME&amp;".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"&amp;"равно как и любое иное использование данного шаблона такими лицами запрещены и признаются нарушением исключительного права правообладателя шаблона "&amp;"и являются основанием для привлечения к гражданской и административной ответственности в соответствии с законодательством Российской Федерации.")</f>
        <v>Правообладатель шаблона - ООО «Платформа» (ОГРН 1147746709153). 
Данный шаблон предоставлен в использование исключительно для сбора информации с регулируемых организаций на территории субъекта РФ: Ставропольский край.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Федерации.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</sheetData>
  <sheetProtection formatColumns="0" formatRows="0" insertRows="0" deleteColumns="0" deleteRows="0" sort="0" autoFilter="0"/>
  <mergeCells count="14">
    <mergeCell ref="B1:P1"/>
    <mergeCell ref="B11:C12"/>
    <mergeCell ref="E12:X12"/>
    <mergeCell ref="B13:C15"/>
    <mergeCell ref="E14:X14"/>
    <mergeCell ref="B16:Y16"/>
    <mergeCell ref="B2:P2"/>
    <mergeCell ref="B3:P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6CD4-1638-2F9C-4DF9-C6F5DA030A97}">
  <sheetPr>
    <tabColor rgb="FFFFCC99"/>
  </sheetPr>
  <dimension ref="A1:Y87"/>
  <sheetViews>
    <sheetView showGridLines="0" workbookViewId="0"/>
  </sheetViews>
  <sheetFormatPr defaultColWidth="9.140625" defaultRowHeight="11.25" customHeight="1" x14ac:dyDescent="0.25"/>
  <cols>
    <col min="1" max="1" width="35.85546875" customWidth="1"/>
    <col min="2" max="3" width="22.5703125" customWidth="1"/>
    <col min="4" max="4" width="32.5703125" customWidth="1"/>
    <col min="5" max="5" width="18.7109375" customWidth="1"/>
    <col min="6" max="6" width="14.140625" customWidth="1"/>
    <col min="7" max="7" width="20.85546875" customWidth="1"/>
    <col min="8" max="10" width="12.28515625" customWidth="1"/>
    <col min="11" max="11" width="34.42578125" customWidth="1"/>
    <col min="12" max="12" width="25" customWidth="1"/>
    <col min="13" max="13" width="13.5703125" customWidth="1"/>
    <col min="14" max="14" width="20.7109375" customWidth="1"/>
    <col min="16" max="16" width="8" customWidth="1"/>
    <col min="17" max="17" width="34" customWidth="1"/>
    <col min="19" max="19" width="35.42578125" customWidth="1"/>
    <col min="20" max="20" width="24.85546875" customWidth="1"/>
  </cols>
  <sheetData>
    <row r="1" spans="1:25" ht="11.25" customHeight="1" x14ac:dyDescent="0.15">
      <c r="A1" s="161" t="s">
        <v>14</v>
      </c>
      <c r="B1" s="161" t="s">
        <v>15</v>
      </c>
      <c r="C1" s="162" t="s">
        <v>16</v>
      </c>
      <c r="D1" s="163" t="s">
        <v>17</v>
      </c>
      <c r="E1" s="163" t="s">
        <v>18</v>
      </c>
      <c r="F1" s="163" t="s">
        <v>19</v>
      </c>
      <c r="G1" s="163" t="s">
        <v>20</v>
      </c>
      <c r="H1" s="164" t="s">
        <v>21</v>
      </c>
      <c r="I1" s="164" t="s">
        <v>22</v>
      </c>
      <c r="J1" s="164" t="s">
        <v>23</v>
      </c>
      <c r="K1" s="165" t="s">
        <v>24</v>
      </c>
      <c r="M1" s="166" t="s">
        <v>25</v>
      </c>
      <c r="P1" s="167" t="s">
        <v>26</v>
      </c>
      <c r="Q1" s="167" t="s">
        <v>27</v>
      </c>
      <c r="S1" s="168" t="s">
        <v>28</v>
      </c>
      <c r="T1" s="168" t="s">
        <v>29</v>
      </c>
      <c r="V1" s="167" t="s">
        <v>30</v>
      </c>
      <c r="W1" s="167" t="s">
        <v>31</v>
      </c>
      <c r="Y1" s="167" t="s">
        <v>32</v>
      </c>
    </row>
    <row r="2" spans="1:25" ht="12.75" customHeight="1" x14ac:dyDescent="0.2">
      <c r="A2" s="169" t="s">
        <v>33</v>
      </c>
      <c r="B2" s="169" t="s">
        <v>34</v>
      </c>
      <c r="C2" s="170" t="s">
        <v>35</v>
      </c>
      <c r="D2" s="87" t="s">
        <v>36</v>
      </c>
      <c r="E2" s="171" t="s">
        <v>37</v>
      </c>
      <c r="F2" s="172" t="s">
        <v>38</v>
      </c>
      <c r="G2" s="173">
        <v>2018</v>
      </c>
      <c r="H2" s="174" t="s">
        <v>39</v>
      </c>
      <c r="I2" s="174" t="s">
        <v>40</v>
      </c>
      <c r="J2" s="174" t="s">
        <v>40</v>
      </c>
      <c r="K2" s="175" t="s">
        <v>41</v>
      </c>
      <c r="M2" s="176">
        <v>3</v>
      </c>
      <c r="P2" s="55" t="s">
        <v>42</v>
      </c>
      <c r="Q2" s="82" t="s">
        <v>43</v>
      </c>
      <c r="S2" s="176" t="s">
        <v>44</v>
      </c>
      <c r="T2" s="176" t="s">
        <v>45</v>
      </c>
      <c r="V2" s="82" t="s">
        <v>45</v>
      </c>
      <c r="W2" s="82" t="s">
        <v>44</v>
      </c>
      <c r="Y2" s="82" t="s">
        <v>46</v>
      </c>
    </row>
    <row r="3" spans="1:25" ht="12.75" customHeight="1" x14ac:dyDescent="0.2">
      <c r="A3" s="169" t="s">
        <v>47</v>
      </c>
      <c r="B3" s="169"/>
      <c r="D3" s="87" t="s">
        <v>48</v>
      </c>
      <c r="E3" s="171" t="s">
        <v>49</v>
      </c>
      <c r="F3" s="172" t="s">
        <v>50</v>
      </c>
      <c r="G3" s="173">
        <v>2019</v>
      </c>
      <c r="H3" s="174" t="s">
        <v>51</v>
      </c>
      <c r="I3" s="174" t="s">
        <v>52</v>
      </c>
      <c r="J3" s="174" t="s">
        <v>52</v>
      </c>
      <c r="K3" s="175" t="s">
        <v>53</v>
      </c>
      <c r="P3" s="55" t="s">
        <v>54</v>
      </c>
      <c r="Q3" s="82" t="s">
        <v>55</v>
      </c>
      <c r="S3" s="176" t="s">
        <v>56</v>
      </c>
      <c r="T3" s="176" t="s">
        <v>57</v>
      </c>
      <c r="V3" s="82" t="s">
        <v>57</v>
      </c>
      <c r="W3" s="82" t="s">
        <v>56</v>
      </c>
      <c r="Y3" s="82" t="s">
        <v>58</v>
      </c>
    </row>
    <row r="4" spans="1:25" ht="12.75" customHeight="1" x14ac:dyDescent="0.2">
      <c r="A4" s="169" t="s">
        <v>59</v>
      </c>
      <c r="B4" s="169"/>
      <c r="C4" s="162" t="s">
        <v>60</v>
      </c>
      <c r="D4" s="87" t="s">
        <v>61</v>
      </c>
      <c r="F4" s="172" t="s">
        <v>62</v>
      </c>
      <c r="G4" s="173">
        <v>2020</v>
      </c>
      <c r="H4" s="174" t="s">
        <v>63</v>
      </c>
      <c r="I4" s="174" t="s">
        <v>64</v>
      </c>
      <c r="J4" s="174" t="s">
        <v>64</v>
      </c>
      <c r="P4" s="55" t="s">
        <v>65</v>
      </c>
      <c r="Q4" s="82" t="s">
        <v>66</v>
      </c>
      <c r="S4" s="176" t="s">
        <v>67</v>
      </c>
      <c r="T4" s="176" t="s">
        <v>68</v>
      </c>
      <c r="V4" s="82" t="s">
        <v>68</v>
      </c>
      <c r="W4" s="82" t="s">
        <v>69</v>
      </c>
    </row>
    <row r="5" spans="1:25" ht="12.75" customHeight="1" x14ac:dyDescent="0.2">
      <c r="A5" s="169" t="s">
        <v>70</v>
      </c>
      <c r="B5" s="169"/>
      <c r="C5" s="170" t="s">
        <v>71</v>
      </c>
      <c r="D5" s="87" t="s">
        <v>72</v>
      </c>
      <c r="F5" s="172" t="s">
        <v>73</v>
      </c>
      <c r="G5" s="173">
        <v>2021</v>
      </c>
      <c r="H5" s="174" t="s">
        <v>74</v>
      </c>
      <c r="I5" s="174" t="s">
        <v>75</v>
      </c>
      <c r="J5" s="174" t="s">
        <v>75</v>
      </c>
      <c r="P5" s="55" t="s">
        <v>65</v>
      </c>
      <c r="Q5" s="82" t="s">
        <v>66</v>
      </c>
      <c r="S5" s="176" t="s">
        <v>76</v>
      </c>
      <c r="W5" s="82" t="s">
        <v>67</v>
      </c>
    </row>
    <row r="6" spans="1:25" ht="11.25" customHeight="1" x14ac:dyDescent="0.15">
      <c r="A6" s="169" t="s">
        <v>77</v>
      </c>
      <c r="B6" s="169"/>
      <c r="D6" s="87" t="s">
        <v>78</v>
      </c>
      <c r="E6" s="163" t="s">
        <v>79</v>
      </c>
      <c r="G6" s="173">
        <v>2022</v>
      </c>
      <c r="H6" s="174" t="s">
        <v>80</v>
      </c>
      <c r="I6" s="174" t="s">
        <v>81</v>
      </c>
      <c r="J6" s="174" t="s">
        <v>81</v>
      </c>
      <c r="K6" s="165" t="s">
        <v>82</v>
      </c>
      <c r="P6" s="55" t="s">
        <v>42</v>
      </c>
      <c r="Q6" s="82" t="s">
        <v>43</v>
      </c>
      <c r="S6" s="176" t="s">
        <v>83</v>
      </c>
      <c r="W6" s="82" t="s">
        <v>76</v>
      </c>
    </row>
    <row r="7" spans="1:25" ht="11.25" customHeight="1" x14ac:dyDescent="0.15">
      <c r="A7" s="169" t="s">
        <v>84</v>
      </c>
      <c r="B7" s="169"/>
      <c r="D7" s="87" t="s">
        <v>85</v>
      </c>
      <c r="G7" s="173">
        <v>2023</v>
      </c>
      <c r="H7" s="174" t="s">
        <v>86</v>
      </c>
      <c r="I7" s="174" t="s">
        <v>87</v>
      </c>
      <c r="J7" s="174" t="s">
        <v>87</v>
      </c>
      <c r="K7" s="177" t="s">
        <v>88</v>
      </c>
      <c r="P7" s="55" t="s">
        <v>89</v>
      </c>
      <c r="Q7" s="178" t="s">
        <v>90</v>
      </c>
      <c r="W7" s="82" t="s">
        <v>83</v>
      </c>
    </row>
    <row r="8" spans="1:25" ht="12.75" customHeight="1" x14ac:dyDescent="0.2">
      <c r="A8" s="169" t="s">
        <v>91</v>
      </c>
      <c r="D8" s="87" t="s">
        <v>92</v>
      </c>
      <c r="F8" s="172" t="s">
        <v>38</v>
      </c>
      <c r="H8" s="174" t="s">
        <v>93</v>
      </c>
      <c r="I8" s="174" t="s">
        <v>94</v>
      </c>
      <c r="J8" s="174" t="s">
        <v>94</v>
      </c>
      <c r="K8" s="177" t="s">
        <v>95</v>
      </c>
      <c r="P8" s="55" t="s">
        <v>96</v>
      </c>
      <c r="Q8" s="178" t="s">
        <v>97</v>
      </c>
    </row>
    <row r="9" spans="1:25" ht="12.75" customHeight="1" x14ac:dyDescent="0.2">
      <c r="A9" s="169" t="s">
        <v>98</v>
      </c>
      <c r="D9" s="87" t="s">
        <v>99</v>
      </c>
      <c r="F9" s="172" t="s">
        <v>100</v>
      </c>
      <c r="H9" s="174" t="s">
        <v>101</v>
      </c>
      <c r="I9" s="174" t="s">
        <v>102</v>
      </c>
      <c r="J9" s="174" t="s">
        <v>102</v>
      </c>
      <c r="K9" s="177" t="s">
        <v>103</v>
      </c>
      <c r="P9" s="55" t="s">
        <v>104</v>
      </c>
      <c r="Q9" s="178" t="s">
        <v>105</v>
      </c>
    </row>
    <row r="10" spans="1:25" ht="12.75" customHeight="1" x14ac:dyDescent="0.2">
      <c r="A10" s="169" t="s">
        <v>106</v>
      </c>
      <c r="D10" s="87" t="s">
        <v>107</v>
      </c>
      <c r="F10" s="172" t="s">
        <v>108</v>
      </c>
      <c r="H10" s="174" t="s">
        <v>109</v>
      </c>
      <c r="I10" s="174" t="s">
        <v>110</v>
      </c>
      <c r="J10" s="174" t="s">
        <v>110</v>
      </c>
      <c r="P10" s="55" t="s">
        <v>111</v>
      </c>
      <c r="Q10" s="82" t="s">
        <v>112</v>
      </c>
    </row>
    <row r="11" spans="1:25" ht="12.75" customHeight="1" x14ac:dyDescent="0.2">
      <c r="A11" s="169"/>
      <c r="D11" s="87" t="s">
        <v>113</v>
      </c>
      <c r="F11" s="172" t="s">
        <v>114</v>
      </c>
      <c r="H11" s="174" t="s">
        <v>115</v>
      </c>
      <c r="I11" s="174">
        <v>10</v>
      </c>
      <c r="J11" s="174">
        <v>10</v>
      </c>
    </row>
    <row r="12" spans="1:25" ht="11.25" customHeight="1" x14ac:dyDescent="0.15">
      <c r="A12" s="169"/>
      <c r="D12" s="87" t="s">
        <v>116</v>
      </c>
      <c r="H12" s="174" t="s">
        <v>117</v>
      </c>
      <c r="I12" s="174">
        <v>11</v>
      </c>
      <c r="J12" s="174">
        <v>11</v>
      </c>
    </row>
    <row r="13" spans="1:25" ht="11.25" customHeight="1" x14ac:dyDescent="0.15">
      <c r="A13" s="169"/>
      <c r="D13" s="87" t="s">
        <v>118</v>
      </c>
      <c r="H13" s="174" t="s">
        <v>119</v>
      </c>
      <c r="I13" s="174">
        <v>12</v>
      </c>
      <c r="J13" s="174">
        <v>12</v>
      </c>
    </row>
    <row r="14" spans="1:25" ht="11.25" customHeight="1" x14ac:dyDescent="0.15">
      <c r="A14" s="169"/>
      <c r="D14" s="87" t="s">
        <v>120</v>
      </c>
      <c r="G14" s="165" t="s">
        <v>121</v>
      </c>
      <c r="J14" s="174">
        <v>13</v>
      </c>
      <c r="K14" s="267" t="s">
        <v>122</v>
      </c>
      <c r="L14" s="268"/>
      <c r="M14" s="268"/>
      <c r="N14" s="268"/>
      <c r="O14" s="268"/>
    </row>
    <row r="15" spans="1:25" ht="11.25" customHeight="1" x14ac:dyDescent="0.15">
      <c r="A15" s="169"/>
      <c r="D15" s="87" t="s">
        <v>123</v>
      </c>
      <c r="G15" s="173">
        <v>2007</v>
      </c>
      <c r="H15" s="173">
        <v>2017</v>
      </c>
      <c r="J15" s="174">
        <v>14</v>
      </c>
      <c r="L15" s="179" t="s">
        <v>124</v>
      </c>
      <c r="M15" s="179" t="s">
        <v>125</v>
      </c>
    </row>
    <row r="16" spans="1:25" ht="11.25" customHeight="1" x14ac:dyDescent="0.15">
      <c r="A16" s="169"/>
      <c r="D16" s="87" t="s">
        <v>126</v>
      </c>
      <c r="G16" s="173">
        <v>2008</v>
      </c>
      <c r="H16" s="173">
        <v>2018</v>
      </c>
      <c r="J16" s="174">
        <v>15</v>
      </c>
      <c r="K16" s="180" t="s">
        <v>127</v>
      </c>
      <c r="L16" s="181"/>
      <c r="M16" s="181"/>
    </row>
    <row r="17" spans="1:10" ht="11.25" customHeight="1" x14ac:dyDescent="0.15">
      <c r="A17" s="169"/>
      <c r="D17" s="87" t="s">
        <v>128</v>
      </c>
      <c r="G17" s="173">
        <v>2009</v>
      </c>
      <c r="H17" s="173">
        <v>2019</v>
      </c>
      <c r="J17" s="174">
        <v>16</v>
      </c>
    </row>
    <row r="18" spans="1:10" ht="11.25" customHeight="1" x14ac:dyDescent="0.15">
      <c r="A18" s="169"/>
      <c r="D18" s="87" t="s">
        <v>129</v>
      </c>
      <c r="G18" s="173">
        <v>2010</v>
      </c>
      <c r="H18" s="173">
        <v>2020</v>
      </c>
      <c r="J18" s="174">
        <v>17</v>
      </c>
    </row>
    <row r="19" spans="1:10" ht="11.25" customHeight="1" x14ac:dyDescent="0.15">
      <c r="A19" s="169"/>
      <c r="D19" s="87" t="s">
        <v>130</v>
      </c>
      <c r="G19" s="173">
        <v>2011</v>
      </c>
      <c r="H19" s="173">
        <v>2021</v>
      </c>
      <c r="J19" s="174">
        <v>18</v>
      </c>
    </row>
    <row r="20" spans="1:10" ht="11.25" customHeight="1" x14ac:dyDescent="0.15">
      <c r="A20" s="169"/>
      <c r="D20" s="87" t="s">
        <v>131</v>
      </c>
      <c r="G20" s="173">
        <v>2012</v>
      </c>
      <c r="H20" s="173">
        <v>2022</v>
      </c>
      <c r="J20" s="174">
        <v>19</v>
      </c>
    </row>
    <row r="21" spans="1:10" ht="11.25" customHeight="1" x14ac:dyDescent="0.15">
      <c r="A21" s="169"/>
      <c r="D21" s="87" t="s">
        <v>132</v>
      </c>
      <c r="G21" s="173">
        <v>2013</v>
      </c>
      <c r="H21" s="173">
        <v>2023</v>
      </c>
      <c r="J21" s="174">
        <v>20</v>
      </c>
    </row>
    <row r="22" spans="1:10" ht="11.25" customHeight="1" x14ac:dyDescent="0.15">
      <c r="A22" s="169"/>
      <c r="D22" s="87" t="s">
        <v>133</v>
      </c>
      <c r="G22" s="173">
        <v>2014</v>
      </c>
      <c r="H22" s="173">
        <v>2024</v>
      </c>
      <c r="J22" s="174">
        <v>21</v>
      </c>
    </row>
    <row r="23" spans="1:10" ht="11.25" customHeight="1" x14ac:dyDescent="0.15">
      <c r="A23" s="169"/>
      <c r="D23" s="87" t="s">
        <v>134</v>
      </c>
      <c r="G23" s="173">
        <v>2015</v>
      </c>
      <c r="H23" s="173">
        <v>2025</v>
      </c>
      <c r="J23" s="174">
        <v>22</v>
      </c>
    </row>
    <row r="24" spans="1:10" ht="11.25" customHeight="1" x14ac:dyDescent="0.15">
      <c r="A24" s="169"/>
      <c r="D24" s="87" t="s">
        <v>135</v>
      </c>
      <c r="G24" s="173">
        <v>2016</v>
      </c>
      <c r="H24" s="173">
        <v>2026</v>
      </c>
      <c r="J24" s="174">
        <v>23</v>
      </c>
    </row>
    <row r="25" spans="1:10" ht="11.25" customHeight="1" x14ac:dyDescent="0.15">
      <c r="A25" s="169"/>
      <c r="D25" s="87" t="s">
        <v>136</v>
      </c>
      <c r="G25" s="173">
        <v>2017</v>
      </c>
      <c r="H25" s="173">
        <v>2027</v>
      </c>
      <c r="J25" s="174">
        <v>24</v>
      </c>
    </row>
    <row r="26" spans="1:10" ht="11.25" customHeight="1" x14ac:dyDescent="0.15">
      <c r="A26" s="169"/>
      <c r="D26" s="87" t="s">
        <v>137</v>
      </c>
      <c r="J26" s="174">
        <v>25</v>
      </c>
    </row>
    <row r="27" spans="1:10" ht="11.25" customHeight="1" x14ac:dyDescent="0.15">
      <c r="A27" s="169"/>
      <c r="D27" s="87" t="s">
        <v>138</v>
      </c>
      <c r="J27" s="174">
        <v>26</v>
      </c>
    </row>
    <row r="28" spans="1:10" ht="11.25" customHeight="1" x14ac:dyDescent="0.15">
      <c r="A28" s="169"/>
      <c r="D28" s="87" t="s">
        <v>139</v>
      </c>
      <c r="G28" s="182" t="s">
        <v>140</v>
      </c>
      <c r="J28" s="174">
        <v>27</v>
      </c>
    </row>
    <row r="29" spans="1:10" ht="11.25" customHeight="1" x14ac:dyDescent="0.15">
      <c r="A29" s="169"/>
      <c r="D29" s="87" t="s">
        <v>141</v>
      </c>
      <c r="G29" s="173">
        <f>FIRST_PERIOD_IN_LT</f>
        <v>2020</v>
      </c>
      <c r="J29" s="174">
        <v>28</v>
      </c>
    </row>
    <row r="30" spans="1:10" ht="11.25" customHeight="1" x14ac:dyDescent="0.15">
      <c r="A30" s="169"/>
      <c r="D30" s="87" t="s">
        <v>142</v>
      </c>
      <c r="G30" s="173">
        <f>(FIRST_PERIOD_IN_LT+1)</f>
        <v>2021</v>
      </c>
      <c r="J30" s="174">
        <v>29</v>
      </c>
    </row>
    <row r="31" spans="1:10" ht="11.25" customHeight="1" x14ac:dyDescent="0.15">
      <c r="A31" s="169"/>
      <c r="D31" s="87" t="s">
        <v>143</v>
      </c>
      <c r="G31" s="173">
        <f>FIRST_PERIOD_IN_LT+2</f>
        <v>2022</v>
      </c>
      <c r="J31" s="174">
        <v>30</v>
      </c>
    </row>
    <row r="32" spans="1:10" ht="11.25" customHeight="1" x14ac:dyDescent="0.15">
      <c r="A32" s="169"/>
      <c r="J32" s="174">
        <v>31</v>
      </c>
    </row>
    <row r="33" spans="1:7" ht="11.25" customHeight="1" x14ac:dyDescent="0.25">
      <c r="A33" s="169"/>
    </row>
    <row r="34" spans="1:7" ht="11.25" customHeight="1" x14ac:dyDescent="0.25">
      <c r="A34" s="169"/>
    </row>
    <row r="35" spans="1:7" ht="11.25" customHeight="1" x14ac:dyDescent="0.25">
      <c r="A35" s="169"/>
    </row>
    <row r="36" spans="1:7" ht="11.25" customHeight="1" x14ac:dyDescent="0.15">
      <c r="A36" s="169"/>
      <c r="G36" s="182" t="s">
        <v>144</v>
      </c>
    </row>
    <row r="37" spans="1:7" ht="11.25" customHeight="1" x14ac:dyDescent="0.15">
      <c r="A37" s="169"/>
      <c r="G37" s="173">
        <f>FIRST_PERIOD_IN_LT</f>
        <v>2020</v>
      </c>
    </row>
    <row r="38" spans="1:7" ht="11.25" customHeight="1" x14ac:dyDescent="0.15">
      <c r="A38" s="169"/>
      <c r="G38" s="173">
        <f>FIRST_PERIOD_IN_LT+1</f>
        <v>2021</v>
      </c>
    </row>
    <row r="39" spans="1:7" ht="11.25" customHeight="1" x14ac:dyDescent="0.15">
      <c r="A39" s="169"/>
      <c r="G39" s="173">
        <f>FIRST_PERIOD_IN_LT+2</f>
        <v>2022</v>
      </c>
    </row>
    <row r="40" spans="1:7" ht="11.25" customHeight="1" x14ac:dyDescent="0.15">
      <c r="A40" s="169"/>
      <c r="G40" s="173">
        <f>FIRST_PERIOD_IN_LT+3</f>
        <v>2023</v>
      </c>
    </row>
    <row r="41" spans="1:7" ht="11.25" customHeight="1" x14ac:dyDescent="0.25">
      <c r="A41" s="169"/>
    </row>
    <row r="42" spans="1:7" ht="11.25" customHeight="1" x14ac:dyDescent="0.25">
      <c r="A42" s="169"/>
    </row>
    <row r="43" spans="1:7" ht="11.25" customHeight="1" x14ac:dyDescent="0.15">
      <c r="A43" s="169"/>
      <c r="G43" s="182" t="s">
        <v>145</v>
      </c>
    </row>
    <row r="44" spans="1:7" ht="11.25" customHeight="1" x14ac:dyDescent="0.15">
      <c r="A44" s="169"/>
      <c r="G44" s="173">
        <f>FIRST_PERIOD_IN_LT</f>
        <v>2020</v>
      </c>
    </row>
    <row r="45" spans="1:7" ht="11.25" customHeight="1" x14ac:dyDescent="0.15">
      <c r="A45" s="169"/>
      <c r="G45" s="173">
        <f>FIRST_PERIOD_IN_LT+1</f>
        <v>2021</v>
      </c>
    </row>
    <row r="46" spans="1:7" ht="11.25" customHeight="1" x14ac:dyDescent="0.15">
      <c r="A46" s="169"/>
      <c r="G46" s="173">
        <f>FIRST_PERIOD_IN_LT+2</f>
        <v>2022</v>
      </c>
    </row>
    <row r="47" spans="1:7" ht="11.25" customHeight="1" x14ac:dyDescent="0.15">
      <c r="A47" s="169"/>
      <c r="G47" s="173">
        <f>FIRST_PERIOD_IN_LT+3</f>
        <v>2023</v>
      </c>
    </row>
    <row r="48" spans="1:7" ht="11.25" customHeight="1" x14ac:dyDescent="0.15">
      <c r="A48" s="169"/>
      <c r="G48" s="173">
        <f>FIRST_PERIOD_IN_LT+4</f>
        <v>2024</v>
      </c>
    </row>
    <row r="49" spans="1:1" ht="11.25" customHeight="1" x14ac:dyDescent="0.25">
      <c r="A49" s="169"/>
    </row>
    <row r="50" spans="1:1" ht="11.25" customHeight="1" x14ac:dyDescent="0.25">
      <c r="A50" s="169"/>
    </row>
    <row r="51" spans="1:1" ht="11.25" customHeight="1" x14ac:dyDescent="0.25">
      <c r="A51" s="169"/>
    </row>
    <row r="52" spans="1:1" ht="11.25" customHeight="1" x14ac:dyDescent="0.25">
      <c r="A52" s="169"/>
    </row>
    <row r="53" spans="1:1" ht="11.25" customHeight="1" x14ac:dyDescent="0.25">
      <c r="A53" s="169"/>
    </row>
    <row r="54" spans="1:1" ht="11.25" customHeight="1" x14ac:dyDescent="0.25">
      <c r="A54" s="169"/>
    </row>
    <row r="55" spans="1:1" ht="11.25" customHeight="1" x14ac:dyDescent="0.25">
      <c r="A55" s="169"/>
    </row>
    <row r="56" spans="1:1" ht="11.25" customHeight="1" x14ac:dyDescent="0.25">
      <c r="A56" s="169"/>
    </row>
    <row r="57" spans="1:1" ht="11.25" customHeight="1" x14ac:dyDescent="0.25">
      <c r="A57" s="169"/>
    </row>
    <row r="58" spans="1:1" ht="11.25" customHeight="1" x14ac:dyDescent="0.25">
      <c r="A58" s="169"/>
    </row>
    <row r="59" spans="1:1" ht="11.25" customHeight="1" x14ac:dyDescent="0.25">
      <c r="A59" s="169"/>
    </row>
    <row r="60" spans="1:1" ht="11.25" customHeight="1" x14ac:dyDescent="0.25">
      <c r="A60" s="169"/>
    </row>
    <row r="61" spans="1:1" ht="11.25" customHeight="1" x14ac:dyDescent="0.25">
      <c r="A61" s="169"/>
    </row>
    <row r="62" spans="1:1" ht="11.25" customHeight="1" x14ac:dyDescent="0.25">
      <c r="A62" s="169"/>
    </row>
    <row r="63" spans="1:1" ht="11.25" customHeight="1" x14ac:dyDescent="0.25">
      <c r="A63" s="169"/>
    </row>
    <row r="64" spans="1:1" ht="11.25" customHeight="1" x14ac:dyDescent="0.25">
      <c r="A64" s="169"/>
    </row>
    <row r="65" spans="1:1" ht="11.25" customHeight="1" x14ac:dyDescent="0.25">
      <c r="A65" s="169"/>
    </row>
    <row r="66" spans="1:1" ht="11.25" customHeight="1" x14ac:dyDescent="0.25">
      <c r="A66" s="169"/>
    </row>
    <row r="67" spans="1:1" ht="11.25" customHeight="1" x14ac:dyDescent="0.25">
      <c r="A67" s="169"/>
    </row>
    <row r="68" spans="1:1" ht="11.25" customHeight="1" x14ac:dyDescent="0.25">
      <c r="A68" s="169"/>
    </row>
    <row r="69" spans="1:1" ht="11.25" customHeight="1" x14ac:dyDescent="0.25">
      <c r="A69" s="169"/>
    </row>
    <row r="70" spans="1:1" ht="11.25" customHeight="1" x14ac:dyDescent="0.25">
      <c r="A70" s="169"/>
    </row>
    <row r="71" spans="1:1" ht="11.25" customHeight="1" x14ac:dyDescent="0.25">
      <c r="A71" s="169"/>
    </row>
    <row r="72" spans="1:1" ht="11.25" customHeight="1" x14ac:dyDescent="0.25">
      <c r="A72" s="169"/>
    </row>
    <row r="73" spans="1:1" ht="11.25" customHeight="1" x14ac:dyDescent="0.25">
      <c r="A73" s="169"/>
    </row>
    <row r="74" spans="1:1" ht="11.25" customHeight="1" x14ac:dyDescent="0.25">
      <c r="A74" s="169"/>
    </row>
    <row r="75" spans="1:1" ht="11.25" customHeight="1" x14ac:dyDescent="0.25">
      <c r="A75" s="169"/>
    </row>
    <row r="76" spans="1:1" ht="11.25" customHeight="1" x14ac:dyDescent="0.25">
      <c r="A76" s="169"/>
    </row>
    <row r="77" spans="1:1" ht="11.25" customHeight="1" x14ac:dyDescent="0.25">
      <c r="A77" s="169"/>
    </row>
    <row r="78" spans="1:1" ht="11.25" customHeight="1" x14ac:dyDescent="0.25">
      <c r="A78" s="169"/>
    </row>
    <row r="79" spans="1:1" ht="11.25" customHeight="1" x14ac:dyDescent="0.25">
      <c r="A79" s="169"/>
    </row>
    <row r="80" spans="1:1" ht="11.25" customHeight="1" x14ac:dyDescent="0.25">
      <c r="A80" s="169"/>
    </row>
    <row r="81" spans="1:1" ht="11.25" customHeight="1" x14ac:dyDescent="0.25">
      <c r="A81" s="169"/>
    </row>
    <row r="82" spans="1:1" ht="11.25" customHeight="1" x14ac:dyDescent="0.25">
      <c r="A82" s="169"/>
    </row>
    <row r="83" spans="1:1" ht="11.25" customHeight="1" x14ac:dyDescent="0.25">
      <c r="A83" s="169"/>
    </row>
    <row r="84" spans="1:1" ht="11.25" customHeight="1" x14ac:dyDescent="0.25">
      <c r="A84" s="169"/>
    </row>
    <row r="85" spans="1:1" ht="11.25" customHeight="1" x14ac:dyDescent="0.25">
      <c r="A85" s="169"/>
    </row>
    <row r="86" spans="1:1" ht="11.25" customHeight="1" x14ac:dyDescent="0.25">
      <c r="A86" s="169"/>
    </row>
    <row r="87" spans="1:1" ht="11.25" customHeight="1" x14ac:dyDescent="0.25">
      <c r="A87" s="169"/>
    </row>
  </sheetData>
  <sheetProtection formatColumns="0" formatRows="0" insertRows="0" deleteColumns="0" deleteRows="0" sort="0" autoFilter="0"/>
  <mergeCells count="1">
    <mergeCell ref="K14:O14"/>
  </mergeCell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F74E-6042-8C4F-FC12-39BDCADC5F9B}">
  <sheetPr>
    <tabColor rgb="FFFFCC99"/>
  </sheetPr>
  <dimension ref="A5:BO23"/>
  <sheetViews>
    <sheetView showGridLines="0" workbookViewId="0"/>
  </sheetViews>
  <sheetFormatPr defaultColWidth="9.140625" defaultRowHeight="11.25" customHeight="1" x14ac:dyDescent="0.25"/>
  <cols>
    <col min="1" max="1" width="11" customWidth="1"/>
    <col min="9" max="11" width="10.140625" customWidth="1"/>
    <col min="12" max="13" width="12.28515625" customWidth="1"/>
  </cols>
  <sheetData>
    <row r="5" spans="1:67" ht="15" customHeight="1" x14ac:dyDescent="0.25">
      <c r="A5" s="183" t="s">
        <v>146</v>
      </c>
    </row>
    <row r="6" spans="1:67" ht="20.25" customHeight="1" x14ac:dyDescent="0.25">
      <c r="G6" s="184" t="s">
        <v>147</v>
      </c>
      <c r="H6" s="55"/>
      <c r="I6" s="122"/>
    </row>
    <row r="12" spans="1:67" ht="11.25" customHeight="1" x14ac:dyDescent="0.25">
      <c r="A12" s="183" t="s">
        <v>148</v>
      </c>
    </row>
    <row r="13" spans="1:67" ht="15" customHeight="1" x14ac:dyDescent="0.15">
      <c r="F13" s="184" t="s">
        <v>147</v>
      </c>
      <c r="G13" s="55" t="s">
        <v>149</v>
      </c>
      <c r="H13" s="122"/>
      <c r="I13" s="123"/>
      <c r="J13" s="122"/>
      <c r="K13" s="124"/>
      <c r="L13" s="24"/>
      <c r="M13" s="24"/>
      <c r="N13" s="125"/>
      <c r="O13" s="126"/>
      <c r="P13" s="122"/>
      <c r="Q13" s="122"/>
      <c r="R13" s="122"/>
      <c r="S13" s="74">
        <f>T13+U13+V13+AA13</f>
        <v>0</v>
      </c>
      <c r="T13" s="114"/>
      <c r="U13" s="114"/>
      <c r="V13" s="114"/>
      <c r="W13" s="114"/>
      <c r="X13" s="114"/>
      <c r="Y13" s="114"/>
      <c r="Z13" s="74">
        <f>S13-W13-X13-Y13-AA13</f>
        <v>0</v>
      </c>
      <c r="AA13" s="114"/>
      <c r="AB13" s="127"/>
      <c r="AC13" s="122"/>
      <c r="AD13" s="128"/>
      <c r="AE13" s="128"/>
      <c r="AF13" s="128"/>
      <c r="AG13" s="185"/>
      <c r="AH13" s="128"/>
      <c r="AI13" s="128"/>
      <c r="AP13" s="186">
        <f>IF(AND(N13="В",AG13="1"),SUMPRODUCT(S13,O13),0)</f>
        <v>0</v>
      </c>
      <c r="AQ13" s="186">
        <f>IF(AND(N13="В",AG13="1"),S13,0)</f>
        <v>0</v>
      </c>
      <c r="AR13" s="186">
        <f>IF(N13="П",SUMPRODUCT(S13,O13),0)</f>
        <v>0</v>
      </c>
      <c r="AS13" s="186">
        <f>IF(N13="П",S13,0)</f>
        <v>0</v>
      </c>
      <c r="AW13" s="30">
        <f>L13</f>
        <v>0</v>
      </c>
      <c r="AX13" s="30">
        <f>M13</f>
        <v>0</v>
      </c>
      <c r="AY13" s="130">
        <f>N13</f>
        <v>0</v>
      </c>
      <c r="AZ13" s="131">
        <f>O13</f>
        <v>0</v>
      </c>
      <c r="BA13" s="74">
        <f>BB13+BC13+BD13+BI13</f>
        <v>0</v>
      </c>
      <c r="BB13" s="75">
        <f t="shared" ref="BB13:BG13" si="0">T13</f>
        <v>0</v>
      </c>
      <c r="BC13" s="75">
        <f t="shared" si="0"/>
        <v>0</v>
      </c>
      <c r="BD13" s="75">
        <f t="shared" si="0"/>
        <v>0</v>
      </c>
      <c r="BE13" s="75">
        <f t="shared" si="0"/>
        <v>0</v>
      </c>
      <c r="BF13" s="75">
        <f t="shared" si="0"/>
        <v>0</v>
      </c>
      <c r="BG13" s="75">
        <f t="shared" si="0"/>
        <v>0</v>
      </c>
      <c r="BH13" s="74">
        <f>BA13-BE13-BF13-BG13-BI13</f>
        <v>0</v>
      </c>
      <c r="BI13" s="75">
        <f>AA13</f>
        <v>0</v>
      </c>
      <c r="BJ13" s="128">
        <f>AG13</f>
        <v>0</v>
      </c>
      <c r="BK13" s="130"/>
      <c r="BL13" s="186">
        <f>IF(AND(AY13="В",BJ13="1"),SUMPRODUCT(AZ13,BA13),0)</f>
        <v>0</v>
      </c>
      <c r="BM13" s="186">
        <f>IF(AND(AY13="В",BJ13="1"),BA13,0)</f>
        <v>0</v>
      </c>
      <c r="BN13" s="186">
        <f>IF(AY13="П",SUMPRODUCT(AZ13,BA13),0)</f>
        <v>0</v>
      </c>
      <c r="BO13" s="186">
        <f>IF(AY13="П",BA13,0)</f>
        <v>0</v>
      </c>
    </row>
    <row r="16" spans="1:67" ht="11.25" customHeight="1" x14ac:dyDescent="0.25">
      <c r="A16" s="183" t="s">
        <v>150</v>
      </c>
    </row>
    <row r="18" spans="1:24" ht="15" customHeight="1" x14ac:dyDescent="0.25">
      <c r="F18" s="184" t="s">
        <v>147</v>
      </c>
      <c r="G18" s="55"/>
      <c r="H18" s="72"/>
      <c r="I18" s="159"/>
      <c r="J18" s="122"/>
      <c r="K18" s="122"/>
      <c r="L18" s="122"/>
      <c r="M18" s="151"/>
      <c r="N18" s="122"/>
      <c r="O18" s="151"/>
      <c r="P18" s="94">
        <f>Q18+R18+S18+X18</f>
        <v>0</v>
      </c>
      <c r="Q18" s="151"/>
      <c r="R18" s="151"/>
      <c r="S18" s="151"/>
      <c r="T18" s="151"/>
      <c r="U18" s="151"/>
      <c r="V18" s="151"/>
      <c r="W18" s="80">
        <f>P18-T18-U18-V18-X18</f>
        <v>0</v>
      </c>
      <c r="X18" s="151"/>
    </row>
    <row r="22" spans="1:24" ht="15" customHeight="1" x14ac:dyDescent="0.25">
      <c r="A22" s="183" t="s">
        <v>151</v>
      </c>
    </row>
    <row r="23" spans="1:24" ht="15" customHeight="1" x14ac:dyDescent="0.25">
      <c r="E23" s="184" t="s">
        <v>147</v>
      </c>
      <c r="F23" s="42"/>
      <c r="G23" s="46"/>
      <c r="H23" s="44"/>
      <c r="I23" s="187"/>
    </row>
  </sheetData>
  <sheetProtection formatColumns="0" formatRows="0" insertRows="0" deleteColumns="0" deleteRows="0" sort="0" autoFilter="0"/>
  <dataValidations count="7">
    <dataValidation type="list" allowBlank="1" showInputMessage="1" showErrorMessage="1" errorTitle="Ошибка" error="Выберите значение из списка" sqref="AI13" xr:uid="{00000000-0002-0000-0200-000000000000}">
      <formula1>doc_list</formula1>
    </dataValidation>
    <dataValidation type="list" allowBlank="1" showInputMessage="1" showErrorMessage="1" errorTitle="Ошибка" error="Выберите значение из списка" sqref="AG13 BJ13" xr:uid="{00000000-0002-0000-0200-000001000000}">
      <formula1>bln_binary</formula1>
    </dataValidation>
    <dataValidation type="list" allowBlank="1" showInputMessage="1" showErrorMessage="1" errorTitle="Ошибка" error="Выберите значение из списка" sqref="AE13" xr:uid="{00000000-0002-0000-0200-000002000000}">
      <formula1>f_8_1_ae</formula1>
    </dataValidation>
    <dataValidation type="textLength" operator="lessThanOrEqual" allowBlank="1" showInputMessage="1" showErrorMessage="1" errorTitle="Ошибка" error="Допускается ввод не более 900 символов!" sqref="I6 G23 I23" xr:uid="{00000000-0002-0000-0200-000003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I13" xr:uid="{00000000-0002-0000-0200-000004000000}">
      <formula1>VID_OBJECT</formula1>
    </dataValidation>
    <dataValidation type="list" allowBlank="1" showInputMessage="1" showErrorMessage="1" errorTitle="Ошибка" error="Выберите значение из списка" prompt="Выберите значение из списка" sqref="N13 AY13" xr:uid="{00000000-0002-0000-0200-000005000000}">
      <formula1>VID_END_EE</formula1>
    </dataValidation>
    <dataValidation type="list" allowBlank="1" showInputMessage="1" showErrorMessage="1" errorTitle="Ошибка" sqref="H23" xr:uid="{00000000-0002-0000-0200-000006000000}">
      <formula1>doc_list</formula1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871C-05E1-72AB-B6AC-A1B690B275E8}">
  <sheetPr>
    <tabColor rgb="FFFFCC99"/>
  </sheetPr>
  <dimension ref="A1"/>
  <sheetViews>
    <sheetView showGridLines="0" workbookViewId="0"/>
  </sheetViews>
  <sheetFormatPr defaultColWidth="9.140625" defaultRowHeight="11.25" customHeight="1" x14ac:dyDescent="0.25"/>
  <sheetData/>
  <sheetProtection formatColumns="0" formatRows="0"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FC07-E4A4-F16D-6FA5-0C0993187396}">
  <sheetPr>
    <tabColor rgb="FFFFCC99"/>
  </sheetPr>
  <dimension ref="A1:I62"/>
  <sheetViews>
    <sheetView showGridLines="0" workbookViewId="0"/>
  </sheetViews>
  <sheetFormatPr defaultColWidth="9.140625" defaultRowHeight="11.25" customHeight="1" x14ac:dyDescent="0.25"/>
  <sheetData>
    <row r="1" spans="1:9" ht="11.25" customHeight="1" x14ac:dyDescent="0.25">
      <c r="A1" t="s">
        <v>152</v>
      </c>
      <c r="B1" t="s">
        <v>153</v>
      </c>
      <c r="C1" t="s">
        <v>154</v>
      </c>
      <c r="D1" t="s">
        <v>155</v>
      </c>
      <c r="E1" t="s">
        <v>156</v>
      </c>
      <c r="F1" t="s">
        <v>157</v>
      </c>
      <c r="G1" t="s">
        <v>158</v>
      </c>
      <c r="H1" t="s">
        <v>159</v>
      </c>
      <c r="I1" t="s">
        <v>160</v>
      </c>
    </row>
    <row r="2" spans="1:9" ht="11.25" customHeight="1" x14ac:dyDescent="0.25">
      <c r="A2" t="s">
        <v>161</v>
      </c>
      <c r="B2" t="s">
        <v>98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166</v>
      </c>
      <c r="I2" t="s">
        <v>96</v>
      </c>
    </row>
    <row r="3" spans="1:9" ht="11.25" customHeight="1" x14ac:dyDescent="0.25">
      <c r="A3" t="s">
        <v>161</v>
      </c>
      <c r="B3" t="s">
        <v>98</v>
      </c>
      <c r="C3" t="s">
        <v>167</v>
      </c>
      <c r="D3" t="s">
        <v>168</v>
      </c>
      <c r="E3" t="s">
        <v>169</v>
      </c>
      <c r="F3" t="s">
        <v>170</v>
      </c>
      <c r="G3" t="s">
        <v>171</v>
      </c>
      <c r="H3" t="s">
        <v>166</v>
      </c>
      <c r="I3" t="s">
        <v>96</v>
      </c>
    </row>
    <row r="4" spans="1:9" ht="11.25" customHeight="1" x14ac:dyDescent="0.25">
      <c r="A4" t="s">
        <v>161</v>
      </c>
      <c r="B4" t="s">
        <v>98</v>
      </c>
      <c r="C4" t="s">
        <v>172</v>
      </c>
      <c r="D4" t="s">
        <v>173</v>
      </c>
      <c r="E4" t="s">
        <v>174</v>
      </c>
      <c r="F4" t="s">
        <v>175</v>
      </c>
      <c r="G4" t="s">
        <v>176</v>
      </c>
      <c r="H4" t="s">
        <v>166</v>
      </c>
      <c r="I4" t="s">
        <v>96</v>
      </c>
    </row>
    <row r="5" spans="1:9" ht="11.25" customHeight="1" x14ac:dyDescent="0.25">
      <c r="A5" t="s">
        <v>161</v>
      </c>
      <c r="B5" t="s">
        <v>98</v>
      </c>
      <c r="C5" t="s">
        <v>177</v>
      </c>
      <c r="D5" t="s">
        <v>178</v>
      </c>
      <c r="E5" t="s">
        <v>179</v>
      </c>
      <c r="F5" t="s">
        <v>175</v>
      </c>
      <c r="G5" t="s">
        <v>180</v>
      </c>
      <c r="H5" t="s">
        <v>166</v>
      </c>
      <c r="I5" t="s">
        <v>96</v>
      </c>
    </row>
    <row r="6" spans="1:9" ht="11.25" customHeight="1" x14ac:dyDescent="0.25">
      <c r="A6" t="s">
        <v>161</v>
      </c>
      <c r="B6" t="s">
        <v>98</v>
      </c>
      <c r="C6" t="s">
        <v>181</v>
      </c>
      <c r="D6" t="s">
        <v>182</v>
      </c>
      <c r="E6" t="s">
        <v>183</v>
      </c>
      <c r="F6" t="s">
        <v>184</v>
      </c>
      <c r="G6" t="s">
        <v>185</v>
      </c>
      <c r="H6" t="s">
        <v>166</v>
      </c>
      <c r="I6" t="s">
        <v>96</v>
      </c>
    </row>
    <row r="7" spans="1:9" ht="11.25" customHeight="1" x14ac:dyDescent="0.25">
      <c r="A7" t="s">
        <v>161</v>
      </c>
      <c r="B7" t="s">
        <v>98</v>
      </c>
      <c r="C7" t="s">
        <v>186</v>
      </c>
      <c r="D7" t="s">
        <v>187</v>
      </c>
      <c r="E7" t="s">
        <v>188</v>
      </c>
      <c r="F7" t="s">
        <v>189</v>
      </c>
      <c r="G7" t="s">
        <v>190</v>
      </c>
      <c r="H7" t="s">
        <v>166</v>
      </c>
      <c r="I7" t="s">
        <v>96</v>
      </c>
    </row>
    <row r="8" spans="1:9" ht="11.25" customHeight="1" x14ac:dyDescent="0.25">
      <c r="A8" t="s">
        <v>161</v>
      </c>
      <c r="B8" t="s">
        <v>98</v>
      </c>
      <c r="C8" t="s">
        <v>191</v>
      </c>
      <c r="D8" t="s">
        <v>192</v>
      </c>
      <c r="E8" t="s">
        <v>193</v>
      </c>
      <c r="F8" t="s">
        <v>194</v>
      </c>
      <c r="G8" t="s">
        <v>195</v>
      </c>
      <c r="H8" t="s">
        <v>166</v>
      </c>
      <c r="I8" t="s">
        <v>96</v>
      </c>
    </row>
    <row r="9" spans="1:9" ht="11.25" customHeight="1" x14ac:dyDescent="0.25">
      <c r="A9" t="s">
        <v>161</v>
      </c>
      <c r="B9" t="s">
        <v>98</v>
      </c>
      <c r="C9" t="s">
        <v>196</v>
      </c>
      <c r="D9" t="s">
        <v>197</v>
      </c>
      <c r="E9" t="s">
        <v>198</v>
      </c>
      <c r="F9" t="s">
        <v>189</v>
      </c>
      <c r="G9" t="s">
        <v>199</v>
      </c>
      <c r="H9" t="s">
        <v>166</v>
      </c>
      <c r="I9" t="s">
        <v>96</v>
      </c>
    </row>
    <row r="10" spans="1:9" ht="11.25" customHeight="1" x14ac:dyDescent="0.25">
      <c r="A10" t="s">
        <v>161</v>
      </c>
      <c r="B10" t="s">
        <v>98</v>
      </c>
      <c r="C10" t="s">
        <v>200</v>
      </c>
      <c r="D10" t="s">
        <v>201</v>
      </c>
      <c r="E10" t="s">
        <v>202</v>
      </c>
      <c r="F10" t="s">
        <v>203</v>
      </c>
      <c r="G10" t="s">
        <v>204</v>
      </c>
      <c r="H10" t="s">
        <v>166</v>
      </c>
      <c r="I10" t="s">
        <v>96</v>
      </c>
    </row>
    <row r="11" spans="1:9" ht="11.25" customHeight="1" x14ac:dyDescent="0.25">
      <c r="A11" t="s">
        <v>161</v>
      </c>
      <c r="B11" t="s">
        <v>98</v>
      </c>
      <c r="C11" t="s">
        <v>205</v>
      </c>
      <c r="D11" t="s">
        <v>206</v>
      </c>
      <c r="E11" t="s">
        <v>207</v>
      </c>
      <c r="F11" t="s">
        <v>208</v>
      </c>
      <c r="G11" t="s">
        <v>209</v>
      </c>
      <c r="H11" t="s">
        <v>166</v>
      </c>
      <c r="I11" t="s">
        <v>96</v>
      </c>
    </row>
    <row r="12" spans="1:9" ht="11.25" customHeight="1" x14ac:dyDescent="0.25">
      <c r="A12" t="s">
        <v>161</v>
      </c>
      <c r="B12" t="s">
        <v>98</v>
      </c>
      <c r="C12" t="s">
        <v>210</v>
      </c>
      <c r="D12" t="s">
        <v>211</v>
      </c>
      <c r="E12" t="s">
        <v>212</v>
      </c>
      <c r="F12" t="s">
        <v>213</v>
      </c>
      <c r="G12" t="s">
        <v>166</v>
      </c>
      <c r="H12" t="s">
        <v>166</v>
      </c>
      <c r="I12" t="s">
        <v>96</v>
      </c>
    </row>
    <row r="13" spans="1:9" ht="11.25" customHeight="1" x14ac:dyDescent="0.25">
      <c r="A13" t="s">
        <v>161</v>
      </c>
      <c r="B13" t="s">
        <v>98</v>
      </c>
      <c r="C13" t="s">
        <v>214</v>
      </c>
      <c r="D13" t="s">
        <v>215</v>
      </c>
      <c r="E13" t="s">
        <v>216</v>
      </c>
      <c r="F13" t="s">
        <v>217</v>
      </c>
      <c r="G13" t="s">
        <v>218</v>
      </c>
      <c r="H13" t="s">
        <v>166</v>
      </c>
      <c r="I13" t="s">
        <v>96</v>
      </c>
    </row>
    <row r="14" spans="1:9" ht="11.25" customHeight="1" x14ac:dyDescent="0.25">
      <c r="A14" t="s">
        <v>161</v>
      </c>
      <c r="B14" t="s">
        <v>98</v>
      </c>
      <c r="C14" t="s">
        <v>219</v>
      </c>
      <c r="D14" t="s">
        <v>220</v>
      </c>
      <c r="E14" t="s">
        <v>221</v>
      </c>
      <c r="F14" t="s">
        <v>217</v>
      </c>
      <c r="G14" t="s">
        <v>222</v>
      </c>
      <c r="H14" t="s">
        <v>166</v>
      </c>
      <c r="I14" t="s">
        <v>96</v>
      </c>
    </row>
    <row r="15" spans="1:9" ht="11.25" customHeight="1" x14ac:dyDescent="0.25">
      <c r="A15" t="s">
        <v>161</v>
      </c>
      <c r="B15" t="s">
        <v>98</v>
      </c>
      <c r="C15" t="s">
        <v>223</v>
      </c>
      <c r="D15" t="s">
        <v>224</v>
      </c>
      <c r="E15" t="s">
        <v>225</v>
      </c>
      <c r="F15" t="s">
        <v>165</v>
      </c>
      <c r="G15" t="s">
        <v>226</v>
      </c>
      <c r="H15" t="s">
        <v>166</v>
      </c>
      <c r="I15" t="s">
        <v>96</v>
      </c>
    </row>
    <row r="16" spans="1:9" ht="11.25" customHeight="1" x14ac:dyDescent="0.25">
      <c r="A16" t="s">
        <v>161</v>
      </c>
      <c r="B16" t="s">
        <v>98</v>
      </c>
      <c r="C16" t="s">
        <v>227</v>
      </c>
      <c r="D16" t="s">
        <v>228</v>
      </c>
      <c r="E16" t="s">
        <v>229</v>
      </c>
      <c r="F16" t="s">
        <v>230</v>
      </c>
      <c r="G16" t="s">
        <v>231</v>
      </c>
      <c r="H16" t="s">
        <v>166</v>
      </c>
      <c r="I16" t="s">
        <v>96</v>
      </c>
    </row>
    <row r="17" spans="1:9" ht="11.25" customHeight="1" x14ac:dyDescent="0.25">
      <c r="A17" t="s">
        <v>161</v>
      </c>
      <c r="B17" t="s">
        <v>98</v>
      </c>
      <c r="C17" t="s">
        <v>232</v>
      </c>
      <c r="D17" t="s">
        <v>233</v>
      </c>
      <c r="E17" t="s">
        <v>234</v>
      </c>
      <c r="F17" t="s">
        <v>235</v>
      </c>
      <c r="G17" t="s">
        <v>166</v>
      </c>
      <c r="H17" t="s">
        <v>166</v>
      </c>
      <c r="I17" t="s">
        <v>96</v>
      </c>
    </row>
    <row r="18" spans="1:9" ht="11.25" customHeight="1" x14ac:dyDescent="0.25">
      <c r="A18" t="s">
        <v>161</v>
      </c>
      <c r="B18" t="s">
        <v>98</v>
      </c>
      <c r="C18" t="s">
        <v>236</v>
      </c>
      <c r="D18" t="s">
        <v>237</v>
      </c>
      <c r="E18" t="s">
        <v>238</v>
      </c>
      <c r="F18" t="s">
        <v>217</v>
      </c>
      <c r="G18" t="s">
        <v>239</v>
      </c>
      <c r="H18" t="s">
        <v>166</v>
      </c>
      <c r="I18" t="s">
        <v>96</v>
      </c>
    </row>
    <row r="19" spans="1:9" ht="11.25" customHeight="1" x14ac:dyDescent="0.25">
      <c r="A19" t="s">
        <v>161</v>
      </c>
      <c r="B19" t="s">
        <v>98</v>
      </c>
      <c r="C19" t="s">
        <v>240</v>
      </c>
      <c r="D19" t="s">
        <v>241</v>
      </c>
      <c r="E19" t="s">
        <v>242</v>
      </c>
      <c r="F19" t="s">
        <v>203</v>
      </c>
      <c r="G19" t="s">
        <v>243</v>
      </c>
      <c r="H19" t="s">
        <v>166</v>
      </c>
      <c r="I19" t="s">
        <v>96</v>
      </c>
    </row>
    <row r="20" spans="1:9" ht="11.25" customHeight="1" x14ac:dyDescent="0.25">
      <c r="A20" t="s">
        <v>161</v>
      </c>
      <c r="B20" t="s">
        <v>98</v>
      </c>
      <c r="C20" t="s">
        <v>244</v>
      </c>
      <c r="D20" t="s">
        <v>245</v>
      </c>
      <c r="E20" t="s">
        <v>246</v>
      </c>
      <c r="F20" t="s">
        <v>203</v>
      </c>
      <c r="G20" t="s">
        <v>247</v>
      </c>
      <c r="H20" t="s">
        <v>166</v>
      </c>
      <c r="I20" t="s">
        <v>96</v>
      </c>
    </row>
    <row r="21" spans="1:9" ht="11.25" customHeight="1" x14ac:dyDescent="0.25">
      <c r="A21" t="s">
        <v>161</v>
      </c>
      <c r="B21" t="s">
        <v>98</v>
      </c>
      <c r="C21" t="s">
        <v>248</v>
      </c>
      <c r="D21" t="s">
        <v>249</v>
      </c>
      <c r="E21" t="s">
        <v>250</v>
      </c>
      <c r="F21" t="s">
        <v>208</v>
      </c>
      <c r="G21" t="s">
        <v>251</v>
      </c>
      <c r="H21" t="s">
        <v>166</v>
      </c>
      <c r="I21" t="s">
        <v>96</v>
      </c>
    </row>
    <row r="22" spans="1:9" ht="11.25" customHeight="1" x14ac:dyDescent="0.25">
      <c r="A22" t="s">
        <v>161</v>
      </c>
      <c r="B22" t="s">
        <v>98</v>
      </c>
      <c r="C22" t="s">
        <v>252</v>
      </c>
      <c r="D22" t="s">
        <v>253</v>
      </c>
      <c r="E22" t="s">
        <v>254</v>
      </c>
      <c r="F22" t="s">
        <v>208</v>
      </c>
      <c r="G22" t="s">
        <v>255</v>
      </c>
      <c r="H22" t="s">
        <v>166</v>
      </c>
      <c r="I22" t="s">
        <v>96</v>
      </c>
    </row>
    <row r="23" spans="1:9" ht="11.25" customHeight="1" x14ac:dyDescent="0.25">
      <c r="A23" t="s">
        <v>161</v>
      </c>
      <c r="B23" t="s">
        <v>98</v>
      </c>
      <c r="C23" t="s">
        <v>256</v>
      </c>
      <c r="D23" t="s">
        <v>257</v>
      </c>
      <c r="E23" t="s">
        <v>258</v>
      </c>
      <c r="F23" t="s">
        <v>208</v>
      </c>
      <c r="G23" t="s">
        <v>259</v>
      </c>
      <c r="H23" t="s">
        <v>166</v>
      </c>
      <c r="I23" t="s">
        <v>96</v>
      </c>
    </row>
    <row r="24" spans="1:9" ht="11.25" customHeight="1" x14ac:dyDescent="0.25">
      <c r="A24" t="s">
        <v>161</v>
      </c>
      <c r="B24" t="s">
        <v>98</v>
      </c>
      <c r="C24" t="s">
        <v>260</v>
      </c>
      <c r="D24" t="s">
        <v>261</v>
      </c>
      <c r="E24" t="s">
        <v>262</v>
      </c>
      <c r="F24" t="s">
        <v>263</v>
      </c>
      <c r="G24" t="s">
        <v>264</v>
      </c>
      <c r="H24" t="s">
        <v>166</v>
      </c>
      <c r="I24" t="s">
        <v>96</v>
      </c>
    </row>
    <row r="25" spans="1:9" ht="11.25" customHeight="1" x14ac:dyDescent="0.25">
      <c r="A25" t="s">
        <v>161</v>
      </c>
      <c r="B25" t="s">
        <v>98</v>
      </c>
      <c r="C25" t="s">
        <v>265</v>
      </c>
      <c r="D25" t="s">
        <v>266</v>
      </c>
      <c r="E25" t="s">
        <v>267</v>
      </c>
      <c r="F25" t="s">
        <v>268</v>
      </c>
      <c r="G25" t="s">
        <v>269</v>
      </c>
      <c r="H25" t="s">
        <v>166</v>
      </c>
      <c r="I25" t="s">
        <v>96</v>
      </c>
    </row>
    <row r="26" spans="1:9" ht="11.25" customHeight="1" x14ac:dyDescent="0.25">
      <c r="A26" t="s">
        <v>161</v>
      </c>
      <c r="B26" t="s">
        <v>98</v>
      </c>
      <c r="C26" t="s">
        <v>270</v>
      </c>
      <c r="D26" t="s">
        <v>271</v>
      </c>
      <c r="E26" t="s">
        <v>267</v>
      </c>
      <c r="F26" t="s">
        <v>272</v>
      </c>
      <c r="G26" t="s">
        <v>269</v>
      </c>
      <c r="H26" t="s">
        <v>166</v>
      </c>
      <c r="I26" t="s">
        <v>96</v>
      </c>
    </row>
    <row r="27" spans="1:9" ht="11.25" customHeight="1" x14ac:dyDescent="0.25">
      <c r="A27" t="s">
        <v>161</v>
      </c>
      <c r="B27" t="s">
        <v>98</v>
      </c>
      <c r="C27" t="s">
        <v>273</v>
      </c>
      <c r="D27" t="s">
        <v>274</v>
      </c>
      <c r="E27" t="s">
        <v>275</v>
      </c>
      <c r="F27" t="s">
        <v>170</v>
      </c>
      <c r="G27" t="s">
        <v>166</v>
      </c>
      <c r="H27" t="s">
        <v>166</v>
      </c>
      <c r="I27" t="s">
        <v>96</v>
      </c>
    </row>
    <row r="28" spans="1:9" ht="11.25" customHeight="1" x14ac:dyDescent="0.25">
      <c r="A28" t="s">
        <v>161</v>
      </c>
      <c r="B28" t="s">
        <v>98</v>
      </c>
      <c r="C28" t="s">
        <v>276</v>
      </c>
      <c r="D28" t="s">
        <v>277</v>
      </c>
      <c r="E28" t="s">
        <v>278</v>
      </c>
      <c r="F28" t="s">
        <v>279</v>
      </c>
      <c r="G28" t="s">
        <v>280</v>
      </c>
      <c r="H28" t="s">
        <v>166</v>
      </c>
      <c r="I28" t="s">
        <v>96</v>
      </c>
    </row>
    <row r="29" spans="1:9" ht="11.25" customHeight="1" x14ac:dyDescent="0.25">
      <c r="A29" t="s">
        <v>161</v>
      </c>
      <c r="B29" t="s">
        <v>98</v>
      </c>
      <c r="C29" t="s">
        <v>281</v>
      </c>
      <c r="D29" t="s">
        <v>282</v>
      </c>
      <c r="E29" t="s">
        <v>283</v>
      </c>
      <c r="F29" t="s">
        <v>284</v>
      </c>
      <c r="G29" t="s">
        <v>166</v>
      </c>
      <c r="H29" t="s">
        <v>166</v>
      </c>
      <c r="I29" t="s">
        <v>96</v>
      </c>
    </row>
    <row r="30" spans="1:9" ht="11.25" customHeight="1" x14ac:dyDescent="0.25">
      <c r="A30" t="s">
        <v>161</v>
      </c>
      <c r="B30" t="s">
        <v>98</v>
      </c>
      <c r="C30" t="s">
        <v>285</v>
      </c>
      <c r="D30" t="s">
        <v>286</v>
      </c>
      <c r="E30" t="s">
        <v>287</v>
      </c>
      <c r="F30" t="s">
        <v>288</v>
      </c>
      <c r="G30" t="s">
        <v>289</v>
      </c>
      <c r="H30" t="s">
        <v>166</v>
      </c>
      <c r="I30" t="s">
        <v>96</v>
      </c>
    </row>
    <row r="31" spans="1:9" ht="11.25" customHeight="1" x14ac:dyDescent="0.25">
      <c r="A31" t="s">
        <v>161</v>
      </c>
      <c r="B31" t="s">
        <v>98</v>
      </c>
      <c r="C31" t="s">
        <v>290</v>
      </c>
      <c r="D31" t="s">
        <v>291</v>
      </c>
      <c r="E31" t="s">
        <v>292</v>
      </c>
      <c r="F31" t="s">
        <v>293</v>
      </c>
      <c r="G31" t="s">
        <v>166</v>
      </c>
      <c r="H31" t="s">
        <v>166</v>
      </c>
      <c r="I31" t="s">
        <v>96</v>
      </c>
    </row>
    <row r="32" spans="1:9" ht="11.25" customHeight="1" x14ac:dyDescent="0.25">
      <c r="A32" t="s">
        <v>161</v>
      </c>
      <c r="B32" t="s">
        <v>98</v>
      </c>
      <c r="C32" t="s">
        <v>294</v>
      </c>
      <c r="D32" t="s">
        <v>295</v>
      </c>
      <c r="E32" t="s">
        <v>296</v>
      </c>
      <c r="F32" t="s">
        <v>297</v>
      </c>
      <c r="G32" t="s">
        <v>166</v>
      </c>
      <c r="H32" t="s">
        <v>166</v>
      </c>
      <c r="I32" t="s">
        <v>96</v>
      </c>
    </row>
    <row r="33" spans="1:9" ht="11.25" customHeight="1" x14ac:dyDescent="0.25">
      <c r="A33" t="s">
        <v>161</v>
      </c>
      <c r="B33" t="s">
        <v>98</v>
      </c>
      <c r="C33" t="s">
        <v>298</v>
      </c>
      <c r="D33" t="s">
        <v>299</v>
      </c>
      <c r="E33" t="s">
        <v>300</v>
      </c>
      <c r="F33" t="s">
        <v>301</v>
      </c>
      <c r="G33" t="s">
        <v>166</v>
      </c>
      <c r="H33" t="s">
        <v>166</v>
      </c>
      <c r="I33" t="s">
        <v>96</v>
      </c>
    </row>
    <row r="34" spans="1:9" ht="11.25" customHeight="1" x14ac:dyDescent="0.25">
      <c r="A34" t="s">
        <v>161</v>
      </c>
      <c r="B34" t="s">
        <v>98</v>
      </c>
      <c r="C34" t="s">
        <v>302</v>
      </c>
      <c r="D34" t="s">
        <v>303</v>
      </c>
      <c r="E34" t="s">
        <v>304</v>
      </c>
      <c r="F34" t="s">
        <v>305</v>
      </c>
      <c r="G34" t="s">
        <v>166</v>
      </c>
      <c r="H34" t="s">
        <v>166</v>
      </c>
      <c r="I34" t="s">
        <v>96</v>
      </c>
    </row>
    <row r="35" spans="1:9" ht="11.25" customHeight="1" x14ac:dyDescent="0.25">
      <c r="A35" t="s">
        <v>161</v>
      </c>
      <c r="B35" t="s">
        <v>98</v>
      </c>
      <c r="C35" t="s">
        <v>306</v>
      </c>
      <c r="D35" t="s">
        <v>307</v>
      </c>
      <c r="E35" t="s">
        <v>308</v>
      </c>
      <c r="F35" t="s">
        <v>170</v>
      </c>
      <c r="G35" t="s">
        <v>309</v>
      </c>
      <c r="H35" t="s">
        <v>166</v>
      </c>
      <c r="I35" t="s">
        <v>96</v>
      </c>
    </row>
    <row r="36" spans="1:9" ht="11.25" customHeight="1" x14ac:dyDescent="0.25">
      <c r="A36" t="s">
        <v>161</v>
      </c>
      <c r="B36" t="s">
        <v>98</v>
      </c>
      <c r="C36" t="s">
        <v>310</v>
      </c>
      <c r="D36" t="s">
        <v>311</v>
      </c>
      <c r="E36" t="s">
        <v>312</v>
      </c>
      <c r="F36" t="s">
        <v>313</v>
      </c>
      <c r="G36" t="s">
        <v>314</v>
      </c>
      <c r="H36" t="s">
        <v>166</v>
      </c>
      <c r="I36" t="s">
        <v>96</v>
      </c>
    </row>
    <row r="37" spans="1:9" ht="11.25" customHeight="1" x14ac:dyDescent="0.25">
      <c r="A37" t="s">
        <v>161</v>
      </c>
      <c r="B37" t="s">
        <v>98</v>
      </c>
      <c r="C37" t="s">
        <v>315</v>
      </c>
      <c r="D37" t="s">
        <v>316</v>
      </c>
      <c r="E37" t="s">
        <v>317</v>
      </c>
      <c r="F37" t="s">
        <v>318</v>
      </c>
      <c r="G37" t="s">
        <v>166</v>
      </c>
      <c r="H37" t="s">
        <v>166</v>
      </c>
      <c r="I37" t="s">
        <v>96</v>
      </c>
    </row>
    <row r="38" spans="1:9" ht="11.25" customHeight="1" x14ac:dyDescent="0.25">
      <c r="A38" t="s">
        <v>161</v>
      </c>
      <c r="B38" t="s">
        <v>98</v>
      </c>
      <c r="C38" t="s">
        <v>319</v>
      </c>
      <c r="D38" t="s">
        <v>320</v>
      </c>
      <c r="E38" t="s">
        <v>321</v>
      </c>
      <c r="F38" t="s">
        <v>322</v>
      </c>
      <c r="G38" t="s">
        <v>166</v>
      </c>
      <c r="H38" t="s">
        <v>166</v>
      </c>
      <c r="I38" t="s">
        <v>96</v>
      </c>
    </row>
    <row r="39" spans="1:9" ht="11.25" customHeight="1" x14ac:dyDescent="0.25">
      <c r="A39" t="s">
        <v>161</v>
      </c>
      <c r="B39" t="s">
        <v>98</v>
      </c>
      <c r="C39" t="s">
        <v>323</v>
      </c>
      <c r="D39" t="s">
        <v>324</v>
      </c>
      <c r="E39" t="s">
        <v>325</v>
      </c>
      <c r="F39" t="s">
        <v>213</v>
      </c>
      <c r="G39" t="s">
        <v>326</v>
      </c>
      <c r="H39" t="s">
        <v>166</v>
      </c>
      <c r="I39" t="s">
        <v>96</v>
      </c>
    </row>
    <row r="40" spans="1:9" ht="11.25" customHeight="1" x14ac:dyDescent="0.25">
      <c r="A40" t="s">
        <v>161</v>
      </c>
      <c r="B40" t="s">
        <v>98</v>
      </c>
      <c r="C40" t="s">
        <v>327</v>
      </c>
      <c r="D40" t="s">
        <v>328</v>
      </c>
      <c r="E40" t="s">
        <v>329</v>
      </c>
      <c r="F40" t="s">
        <v>208</v>
      </c>
      <c r="G40" t="s">
        <v>330</v>
      </c>
      <c r="H40" t="s">
        <v>166</v>
      </c>
      <c r="I40" t="s">
        <v>96</v>
      </c>
    </row>
    <row r="41" spans="1:9" ht="11.25" customHeight="1" x14ac:dyDescent="0.25">
      <c r="A41" t="s">
        <v>161</v>
      </c>
      <c r="B41" t="s">
        <v>98</v>
      </c>
      <c r="C41" t="s">
        <v>331</v>
      </c>
      <c r="D41" t="s">
        <v>332</v>
      </c>
      <c r="E41" t="s">
        <v>333</v>
      </c>
      <c r="F41" t="s">
        <v>334</v>
      </c>
      <c r="G41" t="s">
        <v>166</v>
      </c>
      <c r="H41" t="s">
        <v>166</v>
      </c>
      <c r="I41" t="s">
        <v>96</v>
      </c>
    </row>
    <row r="42" spans="1:9" ht="11.25" customHeight="1" x14ac:dyDescent="0.25">
      <c r="A42" t="s">
        <v>161</v>
      </c>
      <c r="B42" t="s">
        <v>98</v>
      </c>
      <c r="C42" t="s">
        <v>335</v>
      </c>
      <c r="D42" t="s">
        <v>336</v>
      </c>
      <c r="E42" t="s">
        <v>337</v>
      </c>
      <c r="F42" t="s">
        <v>338</v>
      </c>
      <c r="G42" t="s">
        <v>166</v>
      </c>
      <c r="H42" t="s">
        <v>166</v>
      </c>
      <c r="I42" t="s">
        <v>96</v>
      </c>
    </row>
    <row r="43" spans="1:9" ht="11.25" customHeight="1" x14ac:dyDescent="0.25">
      <c r="A43" t="s">
        <v>161</v>
      </c>
      <c r="B43" t="s">
        <v>98</v>
      </c>
      <c r="C43" t="s">
        <v>339</v>
      </c>
      <c r="D43" t="s">
        <v>340</v>
      </c>
      <c r="E43" t="s">
        <v>341</v>
      </c>
      <c r="F43" t="s">
        <v>208</v>
      </c>
      <c r="G43" t="s">
        <v>166</v>
      </c>
      <c r="H43" t="s">
        <v>166</v>
      </c>
      <c r="I43" t="s">
        <v>96</v>
      </c>
    </row>
    <row r="44" spans="1:9" ht="11.25" customHeight="1" x14ac:dyDescent="0.25">
      <c r="A44" t="s">
        <v>161</v>
      </c>
      <c r="B44" t="s">
        <v>98</v>
      </c>
      <c r="C44" t="s">
        <v>342</v>
      </c>
      <c r="D44" t="s">
        <v>343</v>
      </c>
      <c r="E44" t="s">
        <v>344</v>
      </c>
      <c r="F44" t="s">
        <v>345</v>
      </c>
      <c r="G44" t="s">
        <v>346</v>
      </c>
      <c r="H44" t="s">
        <v>166</v>
      </c>
      <c r="I44" t="s">
        <v>96</v>
      </c>
    </row>
    <row r="45" spans="1:9" ht="11.25" customHeight="1" x14ac:dyDescent="0.25">
      <c r="A45" t="s">
        <v>161</v>
      </c>
      <c r="B45" t="s">
        <v>98</v>
      </c>
      <c r="C45" t="s">
        <v>347</v>
      </c>
      <c r="D45" t="s">
        <v>348</v>
      </c>
      <c r="E45" t="s">
        <v>349</v>
      </c>
      <c r="F45" t="s">
        <v>350</v>
      </c>
      <c r="G45" t="s">
        <v>351</v>
      </c>
      <c r="H45" t="s">
        <v>166</v>
      </c>
      <c r="I45" t="s">
        <v>96</v>
      </c>
    </row>
    <row r="46" spans="1:9" ht="11.25" customHeight="1" x14ac:dyDescent="0.25">
      <c r="A46" t="s">
        <v>161</v>
      </c>
      <c r="B46" t="s">
        <v>98</v>
      </c>
      <c r="C46" t="s">
        <v>352</v>
      </c>
      <c r="D46" t="s">
        <v>353</v>
      </c>
      <c r="E46" t="s">
        <v>354</v>
      </c>
      <c r="F46" t="s">
        <v>355</v>
      </c>
      <c r="G46" t="s">
        <v>356</v>
      </c>
      <c r="H46" t="s">
        <v>166</v>
      </c>
      <c r="I46" t="s">
        <v>96</v>
      </c>
    </row>
    <row r="47" spans="1:9" ht="11.25" customHeight="1" x14ac:dyDescent="0.25">
      <c r="A47" t="s">
        <v>161</v>
      </c>
      <c r="B47" t="s">
        <v>98</v>
      </c>
      <c r="C47" t="s">
        <v>357</v>
      </c>
      <c r="D47" t="s">
        <v>358</v>
      </c>
      <c r="E47" t="s">
        <v>359</v>
      </c>
      <c r="F47" t="s">
        <v>170</v>
      </c>
      <c r="G47" t="s">
        <v>360</v>
      </c>
      <c r="H47" t="s">
        <v>166</v>
      </c>
      <c r="I47" t="s">
        <v>96</v>
      </c>
    </row>
    <row r="48" spans="1:9" ht="11.25" customHeight="1" x14ac:dyDescent="0.25">
      <c r="A48" t="s">
        <v>161</v>
      </c>
      <c r="B48" t="s">
        <v>98</v>
      </c>
      <c r="C48" t="s">
        <v>361</v>
      </c>
      <c r="D48" t="s">
        <v>362</v>
      </c>
      <c r="E48" t="s">
        <v>363</v>
      </c>
      <c r="F48" t="s">
        <v>170</v>
      </c>
      <c r="G48" t="s">
        <v>166</v>
      </c>
      <c r="H48" t="s">
        <v>166</v>
      </c>
      <c r="I48" t="s">
        <v>96</v>
      </c>
    </row>
    <row r="49" spans="1:9" ht="11.25" customHeight="1" x14ac:dyDescent="0.25">
      <c r="A49" t="s">
        <v>161</v>
      </c>
      <c r="B49" t="s">
        <v>98</v>
      </c>
      <c r="C49" t="s">
        <v>364</v>
      </c>
      <c r="D49" t="s">
        <v>365</v>
      </c>
      <c r="E49" t="s">
        <v>366</v>
      </c>
      <c r="F49" t="s">
        <v>367</v>
      </c>
      <c r="G49" t="s">
        <v>166</v>
      </c>
      <c r="H49" t="s">
        <v>166</v>
      </c>
      <c r="I49" t="s">
        <v>96</v>
      </c>
    </row>
    <row r="50" spans="1:9" ht="11.25" customHeight="1" x14ac:dyDescent="0.25">
      <c r="A50" t="s">
        <v>161</v>
      </c>
      <c r="B50" t="s">
        <v>98</v>
      </c>
      <c r="C50" t="s">
        <v>368</v>
      </c>
      <c r="D50" t="s">
        <v>369</v>
      </c>
      <c r="E50" t="s">
        <v>370</v>
      </c>
      <c r="F50" t="s">
        <v>203</v>
      </c>
      <c r="G50" t="s">
        <v>166</v>
      </c>
      <c r="H50" t="s">
        <v>166</v>
      </c>
      <c r="I50" t="s">
        <v>96</v>
      </c>
    </row>
    <row r="51" spans="1:9" ht="11.25" customHeight="1" x14ac:dyDescent="0.25">
      <c r="A51" t="s">
        <v>161</v>
      </c>
      <c r="B51" t="s">
        <v>98</v>
      </c>
      <c r="C51" t="s">
        <v>371</v>
      </c>
      <c r="D51" t="s">
        <v>372</v>
      </c>
      <c r="E51" t="s">
        <v>373</v>
      </c>
      <c r="F51" t="s">
        <v>374</v>
      </c>
      <c r="G51" t="s">
        <v>375</v>
      </c>
      <c r="H51" t="s">
        <v>166</v>
      </c>
      <c r="I51" t="s">
        <v>96</v>
      </c>
    </row>
    <row r="52" spans="1:9" ht="11.25" customHeight="1" x14ac:dyDescent="0.25">
      <c r="A52" t="s">
        <v>161</v>
      </c>
      <c r="B52" t="s">
        <v>98</v>
      </c>
      <c r="C52" t="s">
        <v>376</v>
      </c>
      <c r="D52" t="s">
        <v>377</v>
      </c>
      <c r="E52" t="s">
        <v>378</v>
      </c>
      <c r="F52" t="s">
        <v>165</v>
      </c>
      <c r="G52" t="s">
        <v>166</v>
      </c>
      <c r="H52" t="s">
        <v>166</v>
      </c>
      <c r="I52" t="s">
        <v>96</v>
      </c>
    </row>
    <row r="53" spans="1:9" ht="11.25" customHeight="1" x14ac:dyDescent="0.25">
      <c r="A53" t="s">
        <v>161</v>
      </c>
      <c r="B53" t="s">
        <v>98</v>
      </c>
      <c r="C53" t="s">
        <v>379</v>
      </c>
      <c r="D53" t="s">
        <v>380</v>
      </c>
      <c r="E53" t="s">
        <v>381</v>
      </c>
      <c r="F53" t="s">
        <v>382</v>
      </c>
      <c r="G53" t="s">
        <v>383</v>
      </c>
      <c r="H53" t="s">
        <v>166</v>
      </c>
      <c r="I53" t="s">
        <v>96</v>
      </c>
    </row>
    <row r="54" spans="1:9" ht="11.25" customHeight="1" x14ac:dyDescent="0.25">
      <c r="A54" t="s">
        <v>161</v>
      </c>
      <c r="B54" t="s">
        <v>98</v>
      </c>
      <c r="C54" t="s">
        <v>384</v>
      </c>
      <c r="D54" t="s">
        <v>385</v>
      </c>
      <c r="E54" t="s">
        <v>386</v>
      </c>
      <c r="F54" t="s">
        <v>334</v>
      </c>
      <c r="G54" t="s">
        <v>166</v>
      </c>
      <c r="H54" t="s">
        <v>166</v>
      </c>
      <c r="I54" t="s">
        <v>96</v>
      </c>
    </row>
    <row r="55" spans="1:9" ht="11.25" customHeight="1" x14ac:dyDescent="0.25">
      <c r="A55" t="s">
        <v>161</v>
      </c>
      <c r="B55" t="s">
        <v>98</v>
      </c>
      <c r="C55" t="s">
        <v>387</v>
      </c>
      <c r="D55" t="s">
        <v>388</v>
      </c>
      <c r="E55" t="s">
        <v>389</v>
      </c>
      <c r="F55" t="s">
        <v>390</v>
      </c>
      <c r="G55" t="s">
        <v>166</v>
      </c>
      <c r="H55" t="s">
        <v>166</v>
      </c>
      <c r="I55" t="s">
        <v>96</v>
      </c>
    </row>
    <row r="56" spans="1:9" ht="11.25" customHeight="1" x14ac:dyDescent="0.25">
      <c r="A56" t="s">
        <v>161</v>
      </c>
      <c r="B56" t="s">
        <v>98</v>
      </c>
      <c r="C56" t="s">
        <v>391</v>
      </c>
      <c r="D56" t="s">
        <v>392</v>
      </c>
      <c r="E56" t="s">
        <v>393</v>
      </c>
      <c r="F56" t="s">
        <v>394</v>
      </c>
      <c r="G56" t="s">
        <v>395</v>
      </c>
      <c r="H56" t="s">
        <v>166</v>
      </c>
      <c r="I56" t="s">
        <v>96</v>
      </c>
    </row>
    <row r="57" spans="1:9" ht="11.25" customHeight="1" x14ac:dyDescent="0.25">
      <c r="A57" t="s">
        <v>161</v>
      </c>
      <c r="B57" t="s">
        <v>98</v>
      </c>
      <c r="C57" t="s">
        <v>396</v>
      </c>
      <c r="D57" t="s">
        <v>397</v>
      </c>
      <c r="E57" t="s">
        <v>398</v>
      </c>
      <c r="F57" t="s">
        <v>399</v>
      </c>
      <c r="G57" t="s">
        <v>400</v>
      </c>
      <c r="H57" t="s">
        <v>166</v>
      </c>
      <c r="I57" t="s">
        <v>96</v>
      </c>
    </row>
    <row r="58" spans="1:9" ht="11.25" customHeight="1" x14ac:dyDescent="0.25">
      <c r="A58" t="s">
        <v>161</v>
      </c>
      <c r="B58" t="s">
        <v>98</v>
      </c>
      <c r="C58" t="s">
        <v>401</v>
      </c>
      <c r="D58" t="s">
        <v>402</v>
      </c>
      <c r="E58" t="s">
        <v>403</v>
      </c>
      <c r="F58" t="s">
        <v>404</v>
      </c>
      <c r="G58" t="s">
        <v>405</v>
      </c>
      <c r="H58" t="s">
        <v>166</v>
      </c>
      <c r="I58" t="s">
        <v>96</v>
      </c>
    </row>
    <row r="59" spans="1:9" ht="11.25" customHeight="1" x14ac:dyDescent="0.25">
      <c r="A59" t="s">
        <v>161</v>
      </c>
      <c r="B59" t="s">
        <v>98</v>
      </c>
      <c r="C59" t="s">
        <v>406</v>
      </c>
      <c r="D59" t="s">
        <v>407</v>
      </c>
      <c r="E59" t="s">
        <v>408</v>
      </c>
      <c r="F59" t="s">
        <v>409</v>
      </c>
      <c r="G59" t="s">
        <v>410</v>
      </c>
      <c r="H59" t="s">
        <v>166</v>
      </c>
      <c r="I59" t="s">
        <v>96</v>
      </c>
    </row>
    <row r="60" spans="1:9" ht="11.25" customHeight="1" x14ac:dyDescent="0.25">
      <c r="A60" t="s">
        <v>161</v>
      </c>
      <c r="B60" t="s">
        <v>98</v>
      </c>
      <c r="C60" t="s">
        <v>411</v>
      </c>
      <c r="D60" t="s">
        <v>412</v>
      </c>
      <c r="E60" t="s">
        <v>373</v>
      </c>
      <c r="F60" t="s">
        <v>413</v>
      </c>
      <c r="G60" t="s">
        <v>375</v>
      </c>
      <c r="H60" t="s">
        <v>166</v>
      </c>
      <c r="I60" t="s">
        <v>96</v>
      </c>
    </row>
    <row r="61" spans="1:9" ht="11.25" customHeight="1" x14ac:dyDescent="0.25">
      <c r="A61" t="s">
        <v>161</v>
      </c>
      <c r="B61" t="s">
        <v>98</v>
      </c>
      <c r="C61" t="s">
        <v>414</v>
      </c>
      <c r="D61" t="s">
        <v>415</v>
      </c>
      <c r="E61" t="s">
        <v>378</v>
      </c>
      <c r="F61" t="s">
        <v>404</v>
      </c>
      <c r="G61" t="s">
        <v>416</v>
      </c>
      <c r="H61" t="s">
        <v>166</v>
      </c>
      <c r="I61" t="s">
        <v>96</v>
      </c>
    </row>
    <row r="62" spans="1:9" ht="11.25" customHeight="1" x14ac:dyDescent="0.25">
      <c r="A62" t="s">
        <v>161</v>
      </c>
      <c r="B62" t="s">
        <v>98</v>
      </c>
      <c r="C62" t="s">
        <v>417</v>
      </c>
      <c r="D62" t="s">
        <v>418</v>
      </c>
      <c r="E62" t="s">
        <v>419</v>
      </c>
      <c r="F62" t="s">
        <v>409</v>
      </c>
      <c r="G62" t="s">
        <v>420</v>
      </c>
      <c r="H62" t="s">
        <v>166</v>
      </c>
      <c r="I62" t="s">
        <v>96</v>
      </c>
    </row>
  </sheetData>
  <sheetProtection formatColumns="0" formatRows="0"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85DA-165D-9823-BF17-45FBEA682B83}">
  <sheetPr>
    <tabColor rgb="FFFF0000"/>
  </sheetPr>
  <dimension ref="B2:B4"/>
  <sheetViews>
    <sheetView showGridLines="0" showRowColHeaders="0" workbookViewId="0"/>
  </sheetViews>
  <sheetFormatPr defaultColWidth="9.140625" defaultRowHeight="12.75" customHeight="1" x14ac:dyDescent="0.25"/>
  <cols>
    <col min="2" max="2" width="155.42578125" customWidth="1"/>
  </cols>
  <sheetData>
    <row r="2" spans="2:2" ht="81" customHeight="1" x14ac:dyDescent="0.25">
      <c r="B2" s="1" t="s">
        <v>421</v>
      </c>
    </row>
    <row r="4" spans="2:2" ht="68.25" customHeight="1" x14ac:dyDescent="0.25">
      <c r="B4" s="2" t="s">
        <v>422</v>
      </c>
    </row>
  </sheetData>
  <sheetProtection formatColumns="0" formatRows="0"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E039-CE84-4D88-481C-5C6413B6E13E}">
  <dimension ref="A1:AE63"/>
  <sheetViews>
    <sheetView showGridLines="0" view="pageBreakPreview" zoomScale="60" zoomScaleNormal="100" workbookViewId="0">
      <pane xSplit="28" ySplit="23" topLeftCell="AC24" activePane="bottomRight" state="frozen"/>
      <selection pane="topRight" activeCell="AC1" sqref="AC1"/>
      <selection pane="bottomLeft" activeCell="A24" sqref="A24"/>
      <selection pane="bottomRight" activeCell="AC26" sqref="AC26"/>
    </sheetView>
  </sheetViews>
  <sheetFormatPr defaultColWidth="9.140625" defaultRowHeight="11.25" customHeight="1" x14ac:dyDescent="0.25"/>
  <cols>
    <col min="1" max="1" width="9.140625" hidden="1"/>
    <col min="2" max="26" width="18.140625" hidden="1" customWidth="1"/>
    <col min="27" max="27" width="6" customWidth="1"/>
    <col min="28" max="28" width="39.85546875" customWidth="1"/>
    <col min="29" max="29" width="48.42578125" customWidth="1"/>
    <col min="30" max="30" width="35.140625" customWidth="1"/>
    <col min="31" max="31" width="38.28515625" hidden="1" customWidth="1"/>
  </cols>
  <sheetData>
    <row r="1" spans="4:31" ht="11.25" hidden="1" customHeight="1" x14ac:dyDescent="0.25">
      <c r="AB1" s="15"/>
      <c r="AC1" s="16"/>
      <c r="AD1" s="17" t="s">
        <v>423</v>
      </c>
    </row>
    <row r="2" spans="4:31" ht="11.25" hidden="1" customHeight="1" x14ac:dyDescent="0.25">
      <c r="AA2" s="18" t="b">
        <f>TRUE</f>
        <v>1</v>
      </c>
      <c r="AB2" s="15"/>
      <c r="AC2" s="16"/>
      <c r="AE2" s="19" t="b">
        <f>FALSE</f>
        <v>0</v>
      </c>
    </row>
    <row r="3" spans="4:31" ht="11.25" hidden="1" customHeight="1" x14ac:dyDescent="0.25">
      <c r="AB3" s="15"/>
      <c r="AC3" s="16"/>
    </row>
    <row r="4" spans="4:31" ht="11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5">
        <v>39.86</v>
      </c>
      <c r="AC4" s="16">
        <v>47.71</v>
      </c>
      <c r="AD4" s="18">
        <v>35.14</v>
      </c>
    </row>
    <row r="5" spans="4:31" ht="11.25" hidden="1" customHeight="1" x14ac:dyDescent="0.25">
      <c r="D5" s="18">
        <v>25</v>
      </c>
      <c r="AB5" s="15"/>
      <c r="AC5" s="16"/>
    </row>
    <row r="6" spans="4:31" ht="11.25" hidden="1" customHeight="1" x14ac:dyDescent="0.25">
      <c r="D6" s="18">
        <v>25</v>
      </c>
      <c r="AB6" s="15"/>
      <c r="AC6" s="16"/>
    </row>
    <row r="7" spans="4:31" ht="11.25" hidden="1" customHeight="1" x14ac:dyDescent="0.25">
      <c r="D7" s="18">
        <v>25</v>
      </c>
      <c r="AB7" s="15"/>
      <c r="AC7" s="16"/>
    </row>
    <row r="8" spans="4:31" ht="11.25" hidden="1" customHeight="1" x14ac:dyDescent="0.25">
      <c r="D8" s="18">
        <v>25</v>
      </c>
      <c r="AB8" s="15"/>
      <c r="AC8" s="16"/>
    </row>
    <row r="9" spans="4:31" ht="11.25" hidden="1" customHeight="1" x14ac:dyDescent="0.25">
      <c r="D9" s="18">
        <v>25</v>
      </c>
      <c r="AB9" s="15"/>
      <c r="AC9" s="16"/>
    </row>
    <row r="10" spans="4:31" ht="11.25" hidden="1" customHeight="1" x14ac:dyDescent="0.25">
      <c r="D10" s="18">
        <v>25</v>
      </c>
      <c r="AB10" s="15"/>
      <c r="AC10" s="16"/>
    </row>
    <row r="11" spans="4:31" ht="11.25" hidden="1" customHeight="1" x14ac:dyDescent="0.25">
      <c r="D11" s="18">
        <v>25</v>
      </c>
      <c r="AB11" s="15"/>
      <c r="AC11" s="16"/>
    </row>
    <row r="12" spans="4:31" ht="11.25" hidden="1" customHeight="1" x14ac:dyDescent="0.25">
      <c r="D12" s="18">
        <v>25</v>
      </c>
      <c r="AB12" s="15"/>
      <c r="AC12" s="16"/>
    </row>
    <row r="13" spans="4:31" ht="11.25" hidden="1" customHeight="1" x14ac:dyDescent="0.25">
      <c r="D13" s="18">
        <v>25</v>
      </c>
      <c r="AB13" s="15"/>
      <c r="AC13" s="16"/>
    </row>
    <row r="14" spans="4:31" ht="11.25" hidden="1" customHeight="1" x14ac:dyDescent="0.25">
      <c r="D14" s="18">
        <v>25</v>
      </c>
      <c r="AB14" s="15"/>
      <c r="AC14" s="16"/>
    </row>
    <row r="15" spans="4:31" ht="11.25" hidden="1" customHeight="1" x14ac:dyDescent="0.25">
      <c r="D15" s="18">
        <v>25</v>
      </c>
      <c r="AB15" s="15"/>
      <c r="AC15" s="16"/>
    </row>
    <row r="16" spans="4:31" ht="11.25" hidden="1" customHeight="1" x14ac:dyDescent="0.25">
      <c r="D16" s="18">
        <v>25</v>
      </c>
      <c r="AB16" s="15"/>
      <c r="AC16" s="16"/>
    </row>
    <row r="17" spans="4:29" ht="11.25" hidden="1" customHeight="1" x14ac:dyDescent="0.25">
      <c r="D17" s="18">
        <v>25</v>
      </c>
      <c r="AB17" s="15"/>
      <c r="AC17" s="16"/>
    </row>
    <row r="18" spans="4:29" ht="11.25" hidden="1" customHeight="1" x14ac:dyDescent="0.25">
      <c r="D18" s="18">
        <v>25</v>
      </c>
      <c r="AB18" s="15"/>
      <c r="AC18" s="16"/>
    </row>
    <row r="19" spans="4:29" ht="11.25" hidden="1" customHeight="1" x14ac:dyDescent="0.25">
      <c r="D19" s="18">
        <v>25</v>
      </c>
      <c r="AB19" s="15"/>
      <c r="AC19" s="16"/>
    </row>
    <row r="20" spans="4:29" ht="15.75" customHeight="1" x14ac:dyDescent="0.25">
      <c r="D20" s="18">
        <v>15</v>
      </c>
      <c r="AB20" s="15"/>
      <c r="AC20" s="15"/>
    </row>
    <row r="21" spans="4:29" ht="19.7" customHeight="1" x14ac:dyDescent="0.25">
      <c r="D21" s="18">
        <v>18.75</v>
      </c>
      <c r="AB21" s="269" t="s">
        <v>424</v>
      </c>
      <c r="AC21" s="269"/>
    </row>
    <row r="22" spans="4:29" ht="3.2" customHeight="1" x14ac:dyDescent="0.25">
      <c r="D22" s="18">
        <v>3</v>
      </c>
      <c r="AB22" s="15"/>
      <c r="AC22" s="270"/>
    </row>
    <row r="23" spans="4:29" ht="15" hidden="1" customHeight="1" x14ac:dyDescent="0.25">
      <c r="D23" s="18">
        <v>0</v>
      </c>
      <c r="AB23" s="21"/>
      <c r="AC23" s="271"/>
    </row>
    <row r="24" spans="4:29" ht="21.2" customHeight="1" x14ac:dyDescent="0.25">
      <c r="D24" s="18">
        <v>20.25</v>
      </c>
      <c r="AB24" s="22" t="s">
        <v>425</v>
      </c>
      <c r="AC24" s="23" t="s">
        <v>98</v>
      </c>
    </row>
    <row r="25" spans="4:29" ht="5.45" customHeight="1" x14ac:dyDescent="0.25">
      <c r="D25" s="18">
        <v>5.25</v>
      </c>
    </row>
    <row r="26" spans="4:29" ht="23.65" customHeight="1" x14ac:dyDescent="0.25">
      <c r="D26" s="18">
        <v>22.5</v>
      </c>
      <c r="AB26" s="22" t="s">
        <v>426</v>
      </c>
      <c r="AC26" s="188" t="s">
        <v>49</v>
      </c>
    </row>
    <row r="27" spans="4:29" ht="5.45" customHeight="1" x14ac:dyDescent="0.25">
      <c r="D27" s="18">
        <v>5.25</v>
      </c>
      <c r="AB27" s="22"/>
      <c r="AC27" s="16"/>
    </row>
    <row r="28" spans="4:29" ht="23.65" customHeight="1" x14ac:dyDescent="0.25">
      <c r="D28" s="18">
        <v>22.5</v>
      </c>
      <c r="AB28" s="15" t="s">
        <v>427</v>
      </c>
      <c r="AC28" s="189">
        <v>2020</v>
      </c>
    </row>
    <row r="29" spans="4:29" ht="5.45" customHeight="1" x14ac:dyDescent="0.25">
      <c r="D29" s="18">
        <v>5.25</v>
      </c>
      <c r="AB29" s="22"/>
      <c r="AC29" s="25"/>
    </row>
    <row r="30" spans="4:29" ht="21.2" customHeight="1" x14ac:dyDescent="0.25">
      <c r="D30" s="18">
        <v>20.25</v>
      </c>
      <c r="AB30" s="22" t="s">
        <v>428</v>
      </c>
      <c r="AC30" s="26" t="s">
        <v>429</v>
      </c>
    </row>
    <row r="31" spans="4:29" ht="5.45" customHeight="1" x14ac:dyDescent="0.25">
      <c r="D31" s="18">
        <v>5.25</v>
      </c>
      <c r="AB31" s="22"/>
      <c r="AC31" s="25"/>
    </row>
    <row r="32" spans="4:29" ht="21.2" customHeight="1" x14ac:dyDescent="0.25">
      <c r="D32" s="18">
        <v>20.25</v>
      </c>
      <c r="AB32" s="22" t="s">
        <v>430</v>
      </c>
      <c r="AC32" s="23">
        <f>2023</f>
        <v>2023</v>
      </c>
    </row>
    <row r="33" spans="2:29" ht="5.45" customHeight="1" x14ac:dyDescent="0.25">
      <c r="D33" s="18">
        <v>5.25</v>
      </c>
    </row>
    <row r="34" spans="2:29" ht="21.2" customHeight="1" x14ac:dyDescent="0.25">
      <c r="D34" s="18">
        <v>20.25</v>
      </c>
      <c r="AB34" s="15" t="s">
        <v>431</v>
      </c>
      <c r="AC34" s="26" t="s">
        <v>432</v>
      </c>
    </row>
    <row r="35" spans="2:29" ht="5.45" customHeight="1" x14ac:dyDescent="0.25">
      <c r="D35" s="18">
        <v>5.25</v>
      </c>
      <c r="AB35" s="15"/>
      <c r="AC35" s="16"/>
    </row>
    <row r="36" spans="2:29" ht="21.2" customHeight="1" x14ac:dyDescent="0.25">
      <c r="D36" s="18">
        <v>20.25</v>
      </c>
      <c r="AB36" s="27" t="s">
        <v>433</v>
      </c>
      <c r="AC36" s="190" t="s">
        <v>49</v>
      </c>
    </row>
    <row r="37" spans="2:29" ht="1.5" customHeight="1" x14ac:dyDescent="0.25">
      <c r="D37" s="18">
        <v>1.5</v>
      </c>
    </row>
    <row r="38" spans="2:29" ht="21.2" customHeight="1" x14ac:dyDescent="0.25">
      <c r="D38" s="18">
        <v>20.25</v>
      </c>
      <c r="AB38" s="27" t="s">
        <v>434</v>
      </c>
      <c r="AC38" s="26" t="s">
        <v>197</v>
      </c>
    </row>
    <row r="39" spans="2:29" ht="42" hidden="1" customHeight="1" x14ac:dyDescent="0.25">
      <c r="B39" s="18" t="b">
        <f>FIL_FLAG="да"</f>
        <v>0</v>
      </c>
      <c r="D39" s="18">
        <v>42</v>
      </c>
      <c r="AB39" s="27" t="s">
        <v>435</v>
      </c>
      <c r="AC39" s="188"/>
    </row>
    <row r="40" spans="2:29" ht="42" hidden="1" customHeight="1" x14ac:dyDescent="0.25">
      <c r="D40" s="18">
        <v>0</v>
      </c>
      <c r="AC40" t="s">
        <v>196</v>
      </c>
    </row>
    <row r="41" spans="2:29" ht="21.2" customHeight="1" x14ac:dyDescent="0.25">
      <c r="D41" s="18">
        <v>20.25</v>
      </c>
      <c r="AB41" s="27" t="s">
        <v>436</v>
      </c>
      <c r="AC41" s="26" t="s">
        <v>198</v>
      </c>
    </row>
    <row r="42" spans="2:29" ht="15.75" customHeight="1" x14ac:dyDescent="0.25">
      <c r="D42" s="18">
        <v>15</v>
      </c>
      <c r="AB42" s="27" t="s">
        <v>437</v>
      </c>
      <c r="AC42" s="26" t="s">
        <v>189</v>
      </c>
    </row>
    <row r="43" spans="2:29" ht="15.75" customHeight="1" x14ac:dyDescent="0.25">
      <c r="D43" s="18">
        <v>15</v>
      </c>
    </row>
    <row r="44" spans="2:29" ht="15" hidden="1" customHeight="1" x14ac:dyDescent="0.25">
      <c r="D44" s="18">
        <v>0</v>
      </c>
      <c r="AB44" s="15"/>
    </row>
    <row r="45" spans="2:29" ht="15.75" customHeight="1" x14ac:dyDescent="0.25">
      <c r="D45" s="18">
        <v>15</v>
      </c>
      <c r="AC45" s="28" t="s">
        <v>438</v>
      </c>
    </row>
    <row r="46" spans="2:29" ht="21.2" customHeight="1" x14ac:dyDescent="0.25">
      <c r="D46" s="18">
        <v>20.25</v>
      </c>
      <c r="AB46" s="27" t="s">
        <v>439</v>
      </c>
      <c r="AC46" s="188" t="s">
        <v>440</v>
      </c>
    </row>
    <row r="47" spans="2:29" ht="21.2" customHeight="1" x14ac:dyDescent="0.25">
      <c r="D47" s="18">
        <v>20.25</v>
      </c>
      <c r="AB47" s="27" t="s">
        <v>441</v>
      </c>
      <c r="AC47" s="188" t="s">
        <v>440</v>
      </c>
    </row>
    <row r="48" spans="2:29" ht="5.45" customHeight="1" x14ac:dyDescent="0.25">
      <c r="D48" s="18">
        <v>5.25</v>
      </c>
      <c r="AB48" s="15"/>
      <c r="AC48" s="16"/>
    </row>
    <row r="49" spans="4:31" ht="21.2" customHeight="1" x14ac:dyDescent="0.25">
      <c r="D49" s="18">
        <v>20.25</v>
      </c>
      <c r="AB49" s="15"/>
      <c r="AC49" s="29" t="s">
        <v>442</v>
      </c>
    </row>
    <row r="50" spans="4:31" ht="21.2" customHeight="1" x14ac:dyDescent="0.25">
      <c r="D50" s="18">
        <v>20.25</v>
      </c>
      <c r="AB50" s="15" t="s">
        <v>443</v>
      </c>
      <c r="AC50" s="188" t="s">
        <v>444</v>
      </c>
    </row>
    <row r="51" spans="4:31" ht="21.2" customHeight="1" x14ac:dyDescent="0.25">
      <c r="D51" s="18">
        <v>20.25</v>
      </c>
      <c r="AB51" s="15" t="s">
        <v>445</v>
      </c>
      <c r="AC51" s="30" t="s">
        <v>446</v>
      </c>
    </row>
    <row r="52" spans="4:31" ht="21.2" customHeight="1" x14ac:dyDescent="0.25">
      <c r="D52" s="18">
        <v>20.25</v>
      </c>
      <c r="AB52" s="15" t="s">
        <v>447</v>
      </c>
      <c r="AC52" s="30" t="s">
        <v>448</v>
      </c>
    </row>
    <row r="53" spans="4:31" ht="5.45" customHeight="1" x14ac:dyDescent="0.25">
      <c r="D53" s="18">
        <v>5.25</v>
      </c>
      <c r="AB53" s="15"/>
      <c r="AC53" s="16"/>
    </row>
    <row r="54" spans="4:31" ht="21.2" customHeight="1" x14ac:dyDescent="0.25">
      <c r="D54" s="18">
        <v>20.25</v>
      </c>
      <c r="AC54" s="31" t="s">
        <v>449</v>
      </c>
    </row>
    <row r="55" spans="4:31" ht="21.2" customHeight="1" x14ac:dyDescent="0.25">
      <c r="D55" s="18">
        <v>20.25</v>
      </c>
      <c r="AB55" s="27" t="s">
        <v>443</v>
      </c>
      <c r="AC55" s="188" t="s">
        <v>450</v>
      </c>
    </row>
    <row r="56" spans="4:31" ht="21.2" customHeight="1" x14ac:dyDescent="0.25">
      <c r="D56" s="18">
        <v>20.25</v>
      </c>
      <c r="AB56" s="27" t="s">
        <v>447</v>
      </c>
      <c r="AC56" s="30" t="s">
        <v>451</v>
      </c>
    </row>
    <row r="57" spans="4:31" ht="5.45" customHeight="1" x14ac:dyDescent="0.25">
      <c r="D57" s="18">
        <v>5.25</v>
      </c>
      <c r="AB57" s="15"/>
      <c r="AC57" s="16"/>
    </row>
    <row r="58" spans="4:31" ht="31.5" customHeight="1" x14ac:dyDescent="0.25">
      <c r="D58" s="18">
        <v>30</v>
      </c>
      <c r="AB58" s="15"/>
      <c r="AC58" s="29" t="s">
        <v>452</v>
      </c>
    </row>
    <row r="59" spans="4:31" ht="21.2" customHeight="1" x14ac:dyDescent="0.25">
      <c r="D59" s="18">
        <v>20.25</v>
      </c>
      <c r="AB59" s="22" t="s">
        <v>443</v>
      </c>
      <c r="AC59" s="188" t="s">
        <v>453</v>
      </c>
    </row>
    <row r="60" spans="4:31" ht="21.2" customHeight="1" x14ac:dyDescent="0.25">
      <c r="D60" s="18">
        <v>20.25</v>
      </c>
      <c r="AB60" s="22" t="s">
        <v>445</v>
      </c>
      <c r="AC60" s="188" t="s">
        <v>454</v>
      </c>
    </row>
    <row r="61" spans="4:31" ht="21.2" customHeight="1" x14ac:dyDescent="0.25">
      <c r="D61" s="18">
        <v>20.25</v>
      </c>
      <c r="AB61" s="22" t="s">
        <v>447</v>
      </c>
      <c r="AC61" s="188" t="s">
        <v>448</v>
      </c>
    </row>
    <row r="62" spans="4:31" ht="21.2" customHeight="1" x14ac:dyDescent="0.25">
      <c r="D62" s="18">
        <v>20.25</v>
      </c>
      <c r="AB62" s="22" t="s">
        <v>455</v>
      </c>
      <c r="AC62" s="30" t="s">
        <v>456</v>
      </c>
    </row>
    <row r="63" spans="4:31" ht="11.25" hidden="1" customHeight="1" x14ac:dyDescent="0.25">
      <c r="D63" s="18">
        <v>0</v>
      </c>
      <c r="AE63" t="s">
        <v>457</v>
      </c>
    </row>
  </sheetData>
  <sheetProtection formatColumns="0" formatRows="0" insertRows="0" deleteColumns="0" deleteRows="0" sort="0" autoFilter="0"/>
  <mergeCells count="2">
    <mergeCell ref="AB21:AC21"/>
    <mergeCell ref="AC22:AC23"/>
  </mergeCells>
  <dataValidations count="2">
    <dataValidation allowBlank="1" sqref="AC41:AC42" xr:uid="{00000000-0002-0000-0600-000000000000}"/>
    <dataValidation type="list" allowBlank="1" showInputMessage="1" showErrorMessage="1" errorTitle="Ошибка" error="Выберите значение из списка" promptTitle="Внимание" prompt="Выберите значение из списка" sqref="AC29" xr:uid="{00000000-0002-0000-0600-000001000000}">
      <formula1>Period</formula1>
    </dataValidation>
  </dataValidations>
  <printOptions horizontalCentered="1" verticalCentered="1"/>
  <pageMargins left="0.23622047244094491" right="0.23622047244094491" top="0.23622047244094491" bottom="0.23622047244094491" header="0.23622047244094491" footer="0.23622047244094491"/>
  <pageSetup paperSize="9" scale="9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3169-66A1-591D-FA9A-41D5355C5CB6}">
  <dimension ref="A1:AF43"/>
  <sheetViews>
    <sheetView showGridLines="0" topLeftCell="AA20" workbookViewId="0">
      <selection activeCell="AA20" sqref="AA20"/>
    </sheetView>
  </sheetViews>
  <sheetFormatPr defaultColWidth="9.140625" defaultRowHeight="11.25" customHeight="1" x14ac:dyDescent="0.25"/>
  <cols>
    <col min="1" max="2" width="9.140625" hidden="1"/>
    <col min="3" max="5" width="6.42578125" hidden="1" customWidth="1"/>
    <col min="6" max="6" width="6.28515625" hidden="1" customWidth="1"/>
    <col min="7" max="7" width="36.28515625" hidden="1" customWidth="1"/>
    <col min="8" max="8" width="47.5703125" hidden="1" customWidth="1"/>
    <col min="9" max="26" width="9.140625" hidden="1"/>
    <col min="27" max="27" width="6" customWidth="1"/>
    <col min="28" max="28" width="11.5703125" customWidth="1"/>
    <col min="29" max="29" width="65.42578125" customWidth="1"/>
    <col min="30" max="30" width="18.7109375" customWidth="1"/>
    <col min="31" max="31" width="19.42578125" hidden="1" customWidth="1"/>
    <col min="32" max="32" width="9.140625" hidden="1"/>
  </cols>
  <sheetData>
    <row r="1" spans="4:32" ht="15" hidden="1" customHeight="1" x14ac:dyDescent="0.25">
      <c r="AC1" s="18" t="s">
        <v>458</v>
      </c>
      <c r="AE1" s="18" t="s">
        <v>459</v>
      </c>
    </row>
    <row r="2" spans="4:32" ht="15" hidden="1" customHeight="1" x14ac:dyDescent="0.25">
      <c r="AA2" s="18" t="b">
        <f>TRUE</f>
        <v>1</v>
      </c>
    </row>
    <row r="3" spans="4:32" ht="15" hidden="1" customHeight="1" x14ac:dyDescent="0.25"/>
    <row r="4" spans="4:32" ht="1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11.57</v>
      </c>
      <c r="AC4" s="18">
        <v>65.430000000000007</v>
      </c>
      <c r="AD4" s="18">
        <v>18.71</v>
      </c>
      <c r="AF4" s="18">
        <v>0</v>
      </c>
    </row>
    <row r="5" spans="4:32" ht="15" hidden="1" customHeight="1" x14ac:dyDescent="0.25">
      <c r="D5" s="18">
        <v>25</v>
      </c>
    </row>
    <row r="6" spans="4:32" ht="15" hidden="1" customHeight="1" x14ac:dyDescent="0.25">
      <c r="D6" s="18">
        <v>25</v>
      </c>
    </row>
    <row r="7" spans="4:32" ht="15" hidden="1" customHeight="1" x14ac:dyDescent="0.25">
      <c r="D7" s="18">
        <v>25</v>
      </c>
    </row>
    <row r="8" spans="4:32" ht="15" hidden="1" customHeight="1" x14ac:dyDescent="0.25">
      <c r="D8" s="18">
        <v>25</v>
      </c>
    </row>
    <row r="9" spans="4:32" ht="15" hidden="1" customHeight="1" x14ac:dyDescent="0.25">
      <c r="D9" s="18">
        <v>25</v>
      </c>
    </row>
    <row r="10" spans="4:32" ht="15" hidden="1" customHeight="1" x14ac:dyDescent="0.25">
      <c r="D10" s="18">
        <v>25</v>
      </c>
    </row>
    <row r="11" spans="4:32" ht="15" hidden="1" customHeight="1" x14ac:dyDescent="0.25">
      <c r="D11" s="18">
        <v>25</v>
      </c>
    </row>
    <row r="12" spans="4:32" ht="15" hidden="1" customHeight="1" x14ac:dyDescent="0.25">
      <c r="D12" s="18">
        <v>25</v>
      </c>
    </row>
    <row r="13" spans="4:32" ht="15" hidden="1" customHeight="1" x14ac:dyDescent="0.25">
      <c r="D13" s="18">
        <v>25</v>
      </c>
    </row>
    <row r="14" spans="4:32" ht="15" hidden="1" customHeight="1" x14ac:dyDescent="0.25">
      <c r="D14" s="18">
        <v>25</v>
      </c>
    </row>
    <row r="15" spans="4:32" ht="15" hidden="1" customHeight="1" x14ac:dyDescent="0.25">
      <c r="D15" s="18">
        <v>25</v>
      </c>
    </row>
    <row r="16" spans="4:32" ht="15" hidden="1" customHeight="1" x14ac:dyDescent="0.25">
      <c r="D16" s="18">
        <v>25</v>
      </c>
    </row>
    <row r="17" spans="2:31" ht="15" hidden="1" customHeight="1" x14ac:dyDescent="0.25">
      <c r="D17" s="18">
        <v>25</v>
      </c>
    </row>
    <row r="18" spans="2:31" ht="15" hidden="1" customHeight="1" x14ac:dyDescent="0.25">
      <c r="D18" s="18">
        <v>25</v>
      </c>
    </row>
    <row r="19" spans="2:31" ht="15" hidden="1" customHeight="1" x14ac:dyDescent="0.25">
      <c r="D19" s="18">
        <v>25</v>
      </c>
    </row>
    <row r="20" spans="2:31" ht="15.75" customHeight="1" x14ac:dyDescent="0.25">
      <c r="D20" s="18">
        <v>15</v>
      </c>
    </row>
    <row r="21" spans="2:31" ht="15.75" customHeight="1" x14ac:dyDescent="0.25">
      <c r="D21" s="18">
        <v>15</v>
      </c>
      <c r="AB21" s="272" t="s">
        <v>460</v>
      </c>
      <c r="AC21" s="272"/>
      <c r="AD21" s="272"/>
    </row>
    <row r="22" spans="2:31" ht="15" hidden="1" customHeight="1" x14ac:dyDescent="0.25">
      <c r="D22" s="18">
        <v>0</v>
      </c>
    </row>
    <row r="23" spans="2:31" ht="15" hidden="1" customHeight="1" x14ac:dyDescent="0.25">
      <c r="D23" s="18">
        <v>0</v>
      </c>
    </row>
    <row r="24" spans="2:31" ht="23.65" customHeight="1" x14ac:dyDescent="0.25">
      <c r="B24" s="31" t="b">
        <f>TRUE</f>
        <v>1</v>
      </c>
      <c r="D24" s="18">
        <v>22.5</v>
      </c>
      <c r="AC24" s="32" t="s">
        <v>461</v>
      </c>
    </row>
    <row r="25" spans="2:31" ht="23.65" customHeight="1" x14ac:dyDescent="0.25">
      <c r="B25" s="31" t="b">
        <f>TRUE</f>
        <v>1</v>
      </c>
      <c r="D25" s="18">
        <v>22.5</v>
      </c>
      <c r="AC25" s="32" t="s">
        <v>462</v>
      </c>
      <c r="AE25" s="19" t="s">
        <v>463</v>
      </c>
    </row>
    <row r="26" spans="2:31" ht="22.5" hidden="1" customHeight="1" x14ac:dyDescent="0.25">
      <c r="B26" s="31" t="b">
        <f>FIRST_PERIOD_IN_LT&lt;2018</f>
        <v>0</v>
      </c>
      <c r="D26" s="18">
        <v>22.5</v>
      </c>
      <c r="AC26" s="32" t="s">
        <v>464</v>
      </c>
    </row>
    <row r="27" spans="2:31" ht="22.5" hidden="1" customHeight="1" x14ac:dyDescent="0.25">
      <c r="B27" s="31" t="b">
        <f>FIRST_PERIOD_IN_LT&lt;2018</f>
        <v>0</v>
      </c>
      <c r="D27" s="18">
        <v>22.5</v>
      </c>
      <c r="AC27" s="32" t="s">
        <v>465</v>
      </c>
    </row>
    <row r="28" spans="2:31" ht="22.5" hidden="1" customHeight="1" x14ac:dyDescent="0.25">
      <c r="B28" s="31" t="b">
        <f>FIRST_PERIOD_IN_LT&lt;2018</f>
        <v>0</v>
      </c>
      <c r="D28" s="18">
        <v>22.5</v>
      </c>
      <c r="AC28" s="32" t="s">
        <v>466</v>
      </c>
    </row>
    <row r="29" spans="2:31" ht="23.65" customHeight="1" x14ac:dyDescent="0.25">
      <c r="B29" s="31" t="b">
        <f>PRD&lt;2024</f>
        <v>1</v>
      </c>
      <c r="D29" s="18">
        <v>22.5</v>
      </c>
      <c r="AC29" s="32" t="s">
        <v>467</v>
      </c>
    </row>
    <row r="30" spans="2:31" ht="22.5" hidden="1" customHeight="1" x14ac:dyDescent="0.25">
      <c r="B30" s="31" t="b">
        <f>PRD&gt;=2024</f>
        <v>0</v>
      </c>
      <c r="D30" s="18">
        <v>22.5</v>
      </c>
      <c r="AC30" s="32" t="s">
        <v>468</v>
      </c>
    </row>
    <row r="31" spans="2:31" ht="23.65" customHeight="1" x14ac:dyDescent="0.25">
      <c r="B31" s="31" t="b">
        <f>TRUE</f>
        <v>1</v>
      </c>
      <c r="D31" s="18">
        <v>22.5</v>
      </c>
      <c r="AC31" s="32" t="s">
        <v>469</v>
      </c>
      <c r="AE31" s="19" t="s">
        <v>470</v>
      </c>
    </row>
    <row r="32" spans="2:31" ht="23.65" customHeight="1" x14ac:dyDescent="0.25">
      <c r="B32" s="31" t="b">
        <f>TRUE</f>
        <v>1</v>
      </c>
      <c r="D32" s="18">
        <v>22.5</v>
      </c>
      <c r="AC32" s="32" t="s">
        <v>471</v>
      </c>
    </row>
    <row r="33" spans="2:32" ht="23.65" customHeight="1" x14ac:dyDescent="0.25">
      <c r="B33" s="31" t="b">
        <f>PRD&lt;2024</f>
        <v>1</v>
      </c>
      <c r="D33" s="18">
        <v>22.5</v>
      </c>
      <c r="AC33" s="32" t="s">
        <v>472</v>
      </c>
    </row>
    <row r="34" spans="2:32" ht="22.5" hidden="1" customHeight="1" x14ac:dyDescent="0.25">
      <c r="B34" s="31" t="b">
        <f>PRD&gt;=2024</f>
        <v>0</v>
      </c>
      <c r="D34" s="18">
        <v>22.5</v>
      </c>
      <c r="AC34" s="32" t="s">
        <v>473</v>
      </c>
    </row>
    <row r="35" spans="2:32" ht="23.65" customHeight="1" x14ac:dyDescent="0.25">
      <c r="B35" s="31" t="b">
        <f>TRUE</f>
        <v>1</v>
      </c>
      <c r="D35" s="18">
        <v>22.5</v>
      </c>
      <c r="AC35" s="32" t="s">
        <v>474</v>
      </c>
    </row>
    <row r="36" spans="2:32" ht="23.65" customHeight="1" x14ac:dyDescent="0.25">
      <c r="B36" s="31" t="b">
        <f>PRD&lt;2024</f>
        <v>1</v>
      </c>
      <c r="D36" s="18">
        <v>22.5</v>
      </c>
      <c r="AC36" s="32" t="s">
        <v>475</v>
      </c>
      <c r="AE36" s="19" t="str">
        <f>IF(REGION_NAME="Красноярский край","checkPreloadF41","")</f>
        <v/>
      </c>
    </row>
    <row r="37" spans="2:32" ht="22.5" hidden="1" customHeight="1" x14ac:dyDescent="0.25">
      <c r="B37" s="31" t="b">
        <f>PRD&gt;=2024</f>
        <v>0</v>
      </c>
      <c r="D37" s="18">
        <v>22.5</v>
      </c>
      <c r="AC37" s="32" t="s">
        <v>476</v>
      </c>
    </row>
    <row r="38" spans="2:32" ht="23.65" customHeight="1" x14ac:dyDescent="0.25">
      <c r="B38" s="31" t="b">
        <f>PRD&lt;2024</f>
        <v>1</v>
      </c>
      <c r="D38" s="18">
        <v>22.5</v>
      </c>
      <c r="AC38" s="32" t="s">
        <v>477</v>
      </c>
    </row>
    <row r="39" spans="2:32" ht="22.5" hidden="1" customHeight="1" x14ac:dyDescent="0.25">
      <c r="B39" s="31" t="b">
        <f>PRD&gt;=2024</f>
        <v>0</v>
      </c>
      <c r="D39" s="18">
        <v>22.5</v>
      </c>
      <c r="AC39" s="32" t="s">
        <v>478</v>
      </c>
    </row>
    <row r="40" spans="2:32" ht="23.65" customHeight="1" x14ac:dyDescent="0.25">
      <c r="B40" s="31" t="b">
        <f>TRUE</f>
        <v>1</v>
      </c>
      <c r="D40" s="18">
        <v>22.5</v>
      </c>
      <c r="AC40" s="32" t="s">
        <v>479</v>
      </c>
    </row>
    <row r="41" spans="2:32" ht="23.65" customHeight="1" x14ac:dyDescent="0.25">
      <c r="B41" s="31" t="b">
        <f>TRUE</f>
        <v>1</v>
      </c>
      <c r="D41" s="18">
        <v>22.5</v>
      </c>
      <c r="AC41" s="32" t="s">
        <v>480</v>
      </c>
    </row>
    <row r="42" spans="2:32" ht="23.65" customHeight="1" x14ac:dyDescent="0.25">
      <c r="B42" s="31" t="b">
        <f>TRUE</f>
        <v>1</v>
      </c>
      <c r="D42" s="18">
        <v>22.5</v>
      </c>
      <c r="AC42" s="32" t="s">
        <v>481</v>
      </c>
    </row>
    <row r="43" spans="2:32" ht="18" hidden="1" customHeight="1" x14ac:dyDescent="0.25">
      <c r="D43" s="18">
        <v>0</v>
      </c>
      <c r="AF43" t="s">
        <v>457</v>
      </c>
    </row>
  </sheetData>
  <sheetProtection formatColumns="0" formatRows="0" insertRows="0" deleteColumns="0" deleteRows="0" sort="0" autoFilter="0"/>
  <mergeCells count="1">
    <mergeCell ref="AB21:AD21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BF1D-960C-8AFB-C9E9-8597C9FBC189}">
  <sheetPr>
    <tabColor theme="3" tint="0.79998168889431442"/>
    <pageSetUpPr fitToPage="1"/>
  </sheetPr>
  <dimension ref="A1:AG35"/>
  <sheetViews>
    <sheetView showGridLines="0" workbookViewId="0">
      <pane xSplit="29" ySplit="25" topLeftCell="AD34" activePane="bottomRight" state="frozen"/>
      <selection pane="topRight" activeCell="AD1" sqref="AD1"/>
      <selection pane="bottomLeft" activeCell="A26" sqref="A26"/>
      <selection pane="bottomRight" activeCell="AA20" sqref="AA20"/>
    </sheetView>
  </sheetViews>
  <sheetFormatPr defaultColWidth="9.140625" defaultRowHeight="11.25" customHeight="1" x14ac:dyDescent="0.25"/>
  <cols>
    <col min="1" max="1" width="9.140625" hidden="1"/>
    <col min="2" max="26" width="15.7109375" hidden="1" customWidth="1"/>
    <col min="27" max="27" width="6" customWidth="1"/>
    <col min="28" max="28" width="7.42578125" customWidth="1"/>
    <col min="29" max="29" width="75.85546875" customWidth="1"/>
    <col min="30" max="30" width="35.7109375" customWidth="1"/>
    <col min="31" max="31" width="36.7109375" customWidth="1"/>
    <col min="32" max="33" width="9.140625" hidden="1"/>
  </cols>
  <sheetData>
    <row r="1" spans="4:33" ht="13.5" hidden="1" customHeight="1" x14ac:dyDescent="0.25">
      <c r="AA1" s="18" t="s">
        <v>482</v>
      </c>
      <c r="AB1" s="18" t="s">
        <v>483</v>
      </c>
      <c r="AC1" s="18" t="s">
        <v>484</v>
      </c>
      <c r="AD1" s="18" t="s">
        <v>485</v>
      </c>
      <c r="AF1" s="19" t="s">
        <v>486</v>
      </c>
    </row>
    <row r="2" spans="4:33" ht="13.5" hidden="1" customHeight="1" x14ac:dyDescent="0.25">
      <c r="AA2" s="18" t="b">
        <f>TRUE</f>
        <v>1</v>
      </c>
    </row>
    <row r="3" spans="4:33" ht="13.5" hidden="1" customHeight="1" x14ac:dyDescent="0.25"/>
    <row r="4" spans="4:33" ht="13.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7.43</v>
      </c>
      <c r="AC4" s="18">
        <v>75.86</v>
      </c>
      <c r="AD4" s="18">
        <v>35.71</v>
      </c>
      <c r="AE4" s="18">
        <v>36.71</v>
      </c>
      <c r="AF4" s="18">
        <v>0</v>
      </c>
      <c r="AG4" s="18">
        <v>0</v>
      </c>
    </row>
    <row r="5" spans="4:33" ht="13.5" hidden="1" customHeight="1" x14ac:dyDescent="0.25">
      <c r="D5" s="18">
        <v>25</v>
      </c>
    </row>
    <row r="6" spans="4:33" ht="13.5" hidden="1" customHeight="1" x14ac:dyDescent="0.25">
      <c r="D6" s="18">
        <v>25</v>
      </c>
    </row>
    <row r="7" spans="4:33" ht="13.5" hidden="1" customHeight="1" x14ac:dyDescent="0.25">
      <c r="D7" s="18">
        <v>25</v>
      </c>
    </row>
    <row r="8" spans="4:33" ht="13.5" hidden="1" customHeight="1" x14ac:dyDescent="0.25">
      <c r="D8" s="18">
        <v>25</v>
      </c>
    </row>
    <row r="9" spans="4:33" ht="13.5" hidden="1" customHeight="1" x14ac:dyDescent="0.25">
      <c r="D9" s="18">
        <v>25</v>
      </c>
    </row>
    <row r="10" spans="4:33" ht="13.5" hidden="1" customHeight="1" x14ac:dyDescent="0.25">
      <c r="D10" s="18">
        <v>25</v>
      </c>
    </row>
    <row r="11" spans="4:33" ht="13.5" hidden="1" customHeight="1" x14ac:dyDescent="0.25">
      <c r="D11" s="18">
        <v>25</v>
      </c>
    </row>
    <row r="12" spans="4:33" ht="13.5" hidden="1" customHeight="1" x14ac:dyDescent="0.25">
      <c r="D12" s="18">
        <v>25</v>
      </c>
    </row>
    <row r="13" spans="4:33" ht="13.5" hidden="1" customHeight="1" x14ac:dyDescent="0.25">
      <c r="D13" s="18">
        <v>25</v>
      </c>
    </row>
    <row r="14" spans="4:33" ht="13.5" hidden="1" customHeight="1" x14ac:dyDescent="0.25">
      <c r="D14" s="18">
        <v>25</v>
      </c>
    </row>
    <row r="15" spans="4:33" ht="13.5" hidden="1" customHeight="1" x14ac:dyDescent="0.25">
      <c r="D15" s="18">
        <v>25</v>
      </c>
    </row>
    <row r="16" spans="4:33" ht="13.5" hidden="1" customHeight="1" x14ac:dyDescent="0.25">
      <c r="D16" s="18">
        <v>25</v>
      </c>
    </row>
    <row r="17" spans="2:31" ht="13.5" hidden="1" customHeight="1" x14ac:dyDescent="0.25">
      <c r="D17" s="18">
        <v>25</v>
      </c>
    </row>
    <row r="18" spans="2:31" ht="13.5" hidden="1" customHeight="1" x14ac:dyDescent="0.25">
      <c r="D18" s="18">
        <v>25</v>
      </c>
    </row>
    <row r="19" spans="2:31" ht="13.5" hidden="1" customHeight="1" x14ac:dyDescent="0.25">
      <c r="D19" s="18">
        <v>25</v>
      </c>
    </row>
    <row r="20" spans="2:31" ht="15.75" customHeight="1" x14ac:dyDescent="0.25">
      <c r="D20" s="18">
        <v>15</v>
      </c>
    </row>
    <row r="21" spans="2:31" ht="36.75" customHeight="1" x14ac:dyDescent="0.25">
      <c r="D21" s="18">
        <v>35</v>
      </c>
      <c r="AB21" s="275" t="str">
        <f>ORG</f>
        <v>АО "КСК"</v>
      </c>
      <c r="AC21" s="276"/>
      <c r="AD21" s="276"/>
    </row>
    <row r="22" spans="2:31" ht="26.85" customHeight="1" x14ac:dyDescent="0.25">
      <c r="D22" s="18">
        <v>25.5</v>
      </c>
      <c r="AB22" s="274" t="s">
        <v>481</v>
      </c>
      <c r="AC22" s="274"/>
      <c r="AD22" s="274"/>
      <c r="AE22" s="274"/>
    </row>
    <row r="23" spans="2:31" ht="5.45" customHeight="1" x14ac:dyDescent="0.25">
      <c r="D23" s="18">
        <v>5.25</v>
      </c>
      <c r="AC23" s="273"/>
      <c r="AD23" s="273"/>
    </row>
    <row r="24" spans="2:31" ht="25.15" customHeight="1" x14ac:dyDescent="0.25">
      <c r="D24" s="18">
        <v>24</v>
      </c>
      <c r="AB24" s="34" t="s">
        <v>487</v>
      </c>
      <c r="AC24" s="35" t="s">
        <v>488</v>
      </c>
      <c r="AD24" s="34" t="s">
        <v>489</v>
      </c>
      <c r="AE24" s="34" t="s">
        <v>490</v>
      </c>
    </row>
    <row r="25" spans="2:31" ht="5.45" customHeight="1" x14ac:dyDescent="0.25">
      <c r="D25" s="18">
        <v>5.25</v>
      </c>
      <c r="AB25" s="36">
        <v>0</v>
      </c>
      <c r="AC25" s="37"/>
      <c r="AD25" s="38"/>
      <c r="AE25" s="39"/>
    </row>
    <row r="26" spans="2:31" ht="15" hidden="1" customHeight="1" x14ac:dyDescent="0.25">
      <c r="B26" s="40" t="b">
        <f t="shared" ref="B26:B32" si="0">REGION_NAME="Красноярский край"</f>
        <v>0</v>
      </c>
      <c r="D26" s="18">
        <v>15</v>
      </c>
      <c r="AA26" s="41"/>
      <c r="AB26" s="42" t="s">
        <v>58</v>
      </c>
      <c r="AC26" s="43" t="s">
        <v>491</v>
      </c>
      <c r="AD26" s="191"/>
      <c r="AE26" s="192"/>
    </row>
    <row r="27" spans="2:31" ht="26.25" hidden="1" customHeight="1" x14ac:dyDescent="0.25">
      <c r="B27" s="40" t="b">
        <f t="shared" si="0"/>
        <v>0</v>
      </c>
      <c r="D27" s="18">
        <v>26.25</v>
      </c>
      <c r="AA27" s="41"/>
      <c r="AB27" s="42" t="s">
        <v>492</v>
      </c>
      <c r="AC27" s="43" t="s">
        <v>493</v>
      </c>
      <c r="AD27" s="191"/>
      <c r="AE27" s="192"/>
    </row>
    <row r="28" spans="2:31" ht="26.25" hidden="1" customHeight="1" x14ac:dyDescent="0.25">
      <c r="B28" s="40" t="b">
        <f t="shared" si="0"/>
        <v>0</v>
      </c>
      <c r="D28" s="18">
        <v>26.25</v>
      </c>
      <c r="AA28" s="41"/>
      <c r="AB28" s="42" t="s">
        <v>88</v>
      </c>
      <c r="AC28" s="43" t="s">
        <v>494</v>
      </c>
      <c r="AD28" s="191"/>
      <c r="AE28" s="192"/>
    </row>
    <row r="29" spans="2:31" ht="15" hidden="1" customHeight="1" x14ac:dyDescent="0.25">
      <c r="B29" s="40" t="b">
        <f t="shared" si="0"/>
        <v>0</v>
      </c>
      <c r="D29" s="18">
        <v>15</v>
      </c>
      <c r="AA29" s="41"/>
      <c r="AB29" s="42" t="s">
        <v>95</v>
      </c>
      <c r="AC29" s="43" t="s">
        <v>495</v>
      </c>
      <c r="AD29" s="191"/>
      <c r="AE29" s="192"/>
    </row>
    <row r="30" spans="2:31" ht="34.5" hidden="1" customHeight="1" x14ac:dyDescent="0.25">
      <c r="B30" s="40" t="b">
        <f t="shared" si="0"/>
        <v>0</v>
      </c>
      <c r="D30" s="18">
        <v>34.5</v>
      </c>
      <c r="AA30" s="41"/>
      <c r="AB30" s="42" t="s">
        <v>103</v>
      </c>
      <c r="AC30" s="43" t="s">
        <v>496</v>
      </c>
      <c r="AD30" s="191"/>
      <c r="AE30" s="192"/>
    </row>
    <row r="31" spans="2:31" ht="26.25" hidden="1" customHeight="1" x14ac:dyDescent="0.25">
      <c r="B31" s="40" t="b">
        <f t="shared" si="0"/>
        <v>0</v>
      </c>
      <c r="D31" s="18">
        <v>26.25</v>
      </c>
      <c r="AA31" s="41"/>
      <c r="AB31" s="42">
        <v>6</v>
      </c>
      <c r="AC31" s="43" t="s">
        <v>497</v>
      </c>
      <c r="AD31" s="191"/>
      <c r="AE31" s="192"/>
    </row>
    <row r="32" spans="2:31" ht="15" hidden="1" customHeight="1" x14ac:dyDescent="0.25">
      <c r="B32" s="40" t="b">
        <f t="shared" si="0"/>
        <v>0</v>
      </c>
      <c r="D32" s="18">
        <v>15</v>
      </c>
      <c r="AA32" s="41"/>
      <c r="AB32" s="42">
        <f>IF(REGION_NAME="Красноярский край",7,0)</f>
        <v>0</v>
      </c>
      <c r="AC32" s="43" t="s">
        <v>498</v>
      </c>
      <c r="AD32" s="193"/>
      <c r="AE32" s="192"/>
    </row>
    <row r="33" spans="2:33" ht="15" hidden="1" customHeight="1" x14ac:dyDescent="0.25">
      <c r="B33" s="40" t="b">
        <f>AB33&lt;&gt;$AB$32</f>
        <v>0</v>
      </c>
      <c r="D33" s="18">
        <v>15</v>
      </c>
      <c r="AA33" s="45" t="s">
        <v>147</v>
      </c>
      <c r="AB33" s="42">
        <f>AB32</f>
        <v>0</v>
      </c>
      <c r="AC33" s="194"/>
      <c r="AD33" s="191"/>
      <c r="AE33" s="192"/>
      <c r="AF33" s="252"/>
    </row>
    <row r="34" spans="2:33" ht="15.75" customHeight="1" x14ac:dyDescent="0.25">
      <c r="D34" s="18">
        <v>15</v>
      </c>
      <c r="AB34" s="47"/>
      <c r="AC34" s="48" t="s">
        <v>499</v>
      </c>
      <c r="AD34" s="48"/>
      <c r="AE34" s="49"/>
      <c r="AF34" s="252"/>
    </row>
    <row r="35" spans="2:33" ht="11.25" hidden="1" customHeight="1" x14ac:dyDescent="0.25">
      <c r="D35" s="18">
        <v>0</v>
      </c>
      <c r="AG35" t="s">
        <v>457</v>
      </c>
    </row>
  </sheetData>
  <sheetProtection formatColumns="0" formatRows="0" insertRows="0" deleteColumns="0" deleteRows="0" sort="0" autoFilter="0"/>
  <mergeCells count="4">
    <mergeCell ref="AF33:AF34"/>
    <mergeCell ref="AC23:AD23"/>
    <mergeCell ref="AB22:AE22"/>
    <mergeCell ref="AB21:AD21"/>
  </mergeCells>
  <dataValidations count="1">
    <dataValidation type="list" allowBlank="1" showInputMessage="1" showErrorMessage="1" errorTitle="Ошибка" sqref="AD26:AD33" xr:uid="{00000000-0002-0000-0800-000000000000}">
      <formula1>doc_list</formula1>
    </dataValidation>
  </dataValidations>
  <pageMargins left="0.25" right="0.25" top="0.75" bottom="0.75" header="0.3" footer="0.3"/>
  <pageSetup paperSize="9" scale="32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E8FF-8AF3-B359-0A85-FC54D6DAE983}">
  <sheetPr>
    <tabColor theme="3" tint="0.79998168889431442"/>
  </sheetPr>
  <dimension ref="A1:AK55"/>
  <sheetViews>
    <sheetView showGridLines="0" workbookViewId="0">
      <pane xSplit="30" ySplit="27" topLeftCell="AE28" activePane="bottomRight" state="frozen"/>
      <selection pane="topRight" activeCell="AE1" sqref="AE1"/>
      <selection pane="bottomLeft" activeCell="A28" sqref="A28"/>
      <selection pane="bottomRight" activeCell="AA20" sqref="AA20"/>
    </sheetView>
  </sheetViews>
  <sheetFormatPr defaultColWidth="9.140625" defaultRowHeight="11.25" customHeight="1" x14ac:dyDescent="0.25"/>
  <cols>
    <col min="1" max="26" width="7.7109375" hidden="1" customWidth="1"/>
    <col min="27" max="28" width="6" customWidth="1"/>
    <col min="29" max="29" width="107" customWidth="1"/>
    <col min="30" max="30" width="0.5703125" customWidth="1"/>
    <col min="31" max="32" width="11" customWidth="1"/>
    <col min="33" max="33" width="11.7109375" customWidth="1"/>
    <col min="34" max="34" width="11" customWidth="1"/>
    <col min="35" max="35" width="11.7109375" customWidth="1"/>
    <col min="36" max="36" width="1.42578125" hidden="1" customWidth="1"/>
    <col min="37" max="37" width="9.140625" hidden="1"/>
  </cols>
  <sheetData>
    <row r="1" spans="4:37" ht="11.25" hidden="1" customHeight="1" x14ac:dyDescent="0.25"/>
    <row r="2" spans="4:37" ht="11.25" hidden="1" customHeight="1" x14ac:dyDescent="0.25">
      <c r="AA2" s="18" t="b">
        <f>TRUE</f>
        <v>1</v>
      </c>
    </row>
    <row r="3" spans="4:37" ht="11.25" hidden="1" customHeight="1" x14ac:dyDescent="0.25"/>
    <row r="4" spans="4:37" ht="11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6</v>
      </c>
      <c r="AC4" s="18">
        <v>107</v>
      </c>
      <c r="AD4" s="18">
        <v>0.5</v>
      </c>
      <c r="AE4" s="18">
        <v>11</v>
      </c>
      <c r="AF4" s="18">
        <v>11</v>
      </c>
      <c r="AG4" s="18">
        <v>11</v>
      </c>
      <c r="AH4" s="18">
        <v>11</v>
      </c>
      <c r="AI4" s="18">
        <v>11</v>
      </c>
      <c r="AJ4" s="18">
        <v>0</v>
      </c>
      <c r="AK4" s="19">
        <v>0</v>
      </c>
    </row>
    <row r="5" spans="4:37" ht="11.25" hidden="1" customHeight="1" x14ac:dyDescent="0.25">
      <c r="D5" s="18">
        <v>25</v>
      </c>
    </row>
    <row r="6" spans="4:37" ht="11.25" hidden="1" customHeight="1" x14ac:dyDescent="0.25">
      <c r="D6" s="18">
        <v>25</v>
      </c>
    </row>
    <row r="7" spans="4:37" ht="11.25" hidden="1" customHeight="1" x14ac:dyDescent="0.25">
      <c r="D7" s="18">
        <v>25</v>
      </c>
    </row>
    <row r="8" spans="4:37" ht="11.25" hidden="1" customHeight="1" x14ac:dyDescent="0.25">
      <c r="D8" s="18">
        <v>25</v>
      </c>
    </row>
    <row r="9" spans="4:37" ht="11.25" hidden="1" customHeight="1" x14ac:dyDescent="0.25">
      <c r="D9" s="18">
        <v>25</v>
      </c>
    </row>
    <row r="10" spans="4:37" ht="11.25" hidden="1" customHeight="1" x14ac:dyDescent="0.25">
      <c r="D10" s="18">
        <v>25</v>
      </c>
    </row>
    <row r="11" spans="4:37" ht="11.25" hidden="1" customHeight="1" x14ac:dyDescent="0.25">
      <c r="D11" s="18">
        <v>25</v>
      </c>
    </row>
    <row r="12" spans="4:37" ht="11.25" hidden="1" customHeight="1" x14ac:dyDescent="0.25">
      <c r="D12" s="18">
        <v>25</v>
      </c>
    </row>
    <row r="13" spans="4:37" ht="11.25" hidden="1" customHeight="1" x14ac:dyDescent="0.25">
      <c r="D13" s="18">
        <v>25</v>
      </c>
    </row>
    <row r="14" spans="4:37" ht="11.25" hidden="1" customHeight="1" x14ac:dyDescent="0.25">
      <c r="D14" s="18">
        <v>25</v>
      </c>
    </row>
    <row r="15" spans="4:37" ht="11.25" hidden="1" customHeight="1" x14ac:dyDescent="0.25">
      <c r="D15" s="18">
        <v>25</v>
      </c>
    </row>
    <row r="16" spans="4:37" ht="11.25" hidden="1" customHeight="1" x14ac:dyDescent="0.25">
      <c r="D16" s="18">
        <v>25</v>
      </c>
    </row>
    <row r="17" spans="4:36" ht="11.25" hidden="1" customHeight="1" x14ac:dyDescent="0.25">
      <c r="D17" s="18">
        <v>25</v>
      </c>
    </row>
    <row r="18" spans="4:36" ht="11.25" hidden="1" customHeight="1" x14ac:dyDescent="0.25">
      <c r="D18" s="18">
        <v>25</v>
      </c>
    </row>
    <row r="19" spans="4:36" ht="11.25" hidden="1" customHeight="1" x14ac:dyDescent="0.25">
      <c r="D19" s="18">
        <v>25</v>
      </c>
    </row>
    <row r="20" spans="4:36" ht="15.75" customHeight="1" x14ac:dyDescent="0.25">
      <c r="D20" s="18">
        <v>15</v>
      </c>
    </row>
    <row r="21" spans="4:36" ht="36.75" customHeight="1" x14ac:dyDescent="0.25">
      <c r="D21" s="18">
        <v>35</v>
      </c>
      <c r="AB21" s="286" t="str">
        <f>ORG</f>
        <v>АО "КСК"</v>
      </c>
      <c r="AC21" s="287"/>
      <c r="AD21" s="287"/>
      <c r="AE21" s="50"/>
      <c r="AF21" s="50"/>
      <c r="AG21" s="50"/>
      <c r="AI21" s="51"/>
      <c r="AJ21" s="51"/>
    </row>
    <row r="22" spans="4:36" ht="21.2" customHeight="1" x14ac:dyDescent="0.25">
      <c r="D22" s="18">
        <v>20.25</v>
      </c>
      <c r="AB22" s="288" t="s">
        <v>500</v>
      </c>
      <c r="AC22" s="288"/>
      <c r="AD22" s="288"/>
      <c r="AE22" s="288"/>
      <c r="AF22" s="288"/>
      <c r="AG22" s="288"/>
      <c r="AH22" s="288"/>
      <c r="AI22" s="288"/>
    </row>
    <row r="23" spans="4:36" ht="3.75" customHeight="1" x14ac:dyDescent="0.25">
      <c r="D23" s="18">
        <v>3.75</v>
      </c>
      <c r="AB23" s="252"/>
      <c r="AC23" s="252"/>
      <c r="AE23" s="52"/>
      <c r="AF23" s="53"/>
      <c r="AG23" s="53"/>
      <c r="AH23" s="54"/>
      <c r="AI23" s="53"/>
    </row>
    <row r="24" spans="4:36" ht="15.75" customHeight="1" x14ac:dyDescent="0.25">
      <c r="D24" s="18">
        <v>15</v>
      </c>
      <c r="AB24" s="289" t="s">
        <v>501</v>
      </c>
      <c r="AC24" s="289" t="s">
        <v>502</v>
      </c>
      <c r="AE24" s="291" t="str">
        <f>IF(PRD="","Не определено",PRD)&amp;" год"</f>
        <v>2023 год</v>
      </c>
      <c r="AF24" s="291"/>
      <c r="AG24" s="291"/>
      <c r="AH24" s="291"/>
      <c r="AI24" s="291"/>
    </row>
    <row r="25" spans="4:36" ht="15.75" customHeight="1" x14ac:dyDescent="0.25">
      <c r="D25" s="18">
        <v>15</v>
      </c>
      <c r="AB25" s="289"/>
      <c r="AC25" s="289"/>
      <c r="AE25" s="280" t="s">
        <v>503</v>
      </c>
      <c r="AF25" s="280"/>
      <c r="AG25" s="280" t="s">
        <v>504</v>
      </c>
      <c r="AH25" s="282" t="s">
        <v>505</v>
      </c>
      <c r="AI25" s="284" t="s">
        <v>506</v>
      </c>
    </row>
    <row r="26" spans="4:36" ht="26.85" customHeight="1" x14ac:dyDescent="0.25">
      <c r="D26" s="18">
        <v>25.5</v>
      </c>
      <c r="AB26" s="290"/>
      <c r="AC26" s="290"/>
      <c r="AE26" s="58" t="s">
        <v>507</v>
      </c>
      <c r="AF26" s="58" t="s">
        <v>508</v>
      </c>
      <c r="AG26" s="281"/>
      <c r="AH26" s="283"/>
      <c r="AI26" s="285"/>
    </row>
    <row r="27" spans="4:36" ht="1.5" customHeight="1" x14ac:dyDescent="0.25">
      <c r="D27" s="18">
        <v>1.5</v>
      </c>
      <c r="AB27" s="60"/>
      <c r="AC27" s="60"/>
      <c r="AE27" s="61"/>
      <c r="AF27" s="61"/>
      <c r="AG27" s="61"/>
      <c r="AH27" s="62"/>
      <c r="AI27" s="63"/>
    </row>
    <row r="28" spans="4:36" ht="26.85" customHeight="1" x14ac:dyDescent="0.25">
      <c r="D28" s="18">
        <v>25.5</v>
      </c>
      <c r="AB28" s="64" t="s">
        <v>58</v>
      </c>
      <c r="AC28" s="65" t="s">
        <v>509</v>
      </c>
      <c r="AE28" s="66"/>
      <c r="AF28" s="66"/>
      <c r="AG28" s="66"/>
      <c r="AH28" s="56"/>
      <c r="AI28" s="67">
        <f>(AI30+AI31)/2</f>
        <v>2</v>
      </c>
    </row>
    <row r="29" spans="4:36" ht="15.75" customHeight="1" x14ac:dyDescent="0.25">
      <c r="D29" s="18">
        <v>15</v>
      </c>
      <c r="AB29" s="68"/>
      <c r="AC29" s="65" t="s">
        <v>510</v>
      </c>
      <c r="AE29" s="69"/>
      <c r="AF29" s="69"/>
      <c r="AG29" s="69"/>
      <c r="AH29" s="70"/>
      <c r="AI29" s="71"/>
    </row>
    <row r="30" spans="4:36" ht="26.85" customHeight="1" x14ac:dyDescent="0.25">
      <c r="D30" s="18">
        <v>25.5</v>
      </c>
      <c r="AB30" s="55" t="s">
        <v>149</v>
      </c>
      <c r="AC30" s="72" t="s">
        <v>511</v>
      </c>
      <c r="AE30" s="73"/>
      <c r="AF30" s="73"/>
      <c r="AG30" s="74">
        <f>IF(AF30&gt;0,AE30/AF30*100,IF(AE30=0,100,120))</f>
        <v>100</v>
      </c>
      <c r="AH30" s="70" t="s">
        <v>512</v>
      </c>
      <c r="AI30" s="74">
        <f>IF(AG30&lt;80,3,IF(AG30&lt;=120,2,1))</f>
        <v>2</v>
      </c>
    </row>
    <row r="31" spans="4:36" ht="26.85" customHeight="1" x14ac:dyDescent="0.25">
      <c r="D31" s="18">
        <v>25.5</v>
      </c>
      <c r="AB31" s="55" t="s">
        <v>513</v>
      </c>
      <c r="AC31" s="72" t="s">
        <v>514</v>
      </c>
      <c r="AE31" s="75"/>
      <c r="AF31" s="75"/>
      <c r="AG31" s="74">
        <f>IF(AF31&gt;0,AE31/AF31*100,IF(AE31=0,100,120))</f>
        <v>100</v>
      </c>
      <c r="AH31" s="70" t="s">
        <v>512</v>
      </c>
      <c r="AI31" s="74">
        <f>IF(AG31&lt;80,3,IF(AG31&lt;=120,2,1))</f>
        <v>2</v>
      </c>
    </row>
    <row r="32" spans="4:36" ht="15.75" customHeight="1" x14ac:dyDescent="0.25">
      <c r="D32" s="18">
        <v>15</v>
      </c>
      <c r="AB32" s="55"/>
      <c r="AC32" s="72" t="s">
        <v>515</v>
      </c>
      <c r="AE32" s="76"/>
      <c r="AF32" s="77"/>
      <c r="AG32" s="71"/>
      <c r="AH32" s="70"/>
      <c r="AI32" s="71"/>
    </row>
    <row r="33" spans="4:35" ht="15.75" customHeight="1" x14ac:dyDescent="0.25">
      <c r="D33" s="18">
        <v>15</v>
      </c>
      <c r="AB33" s="55" t="s">
        <v>516</v>
      </c>
      <c r="AC33" s="72" t="s">
        <v>517</v>
      </c>
      <c r="AE33" s="75"/>
      <c r="AF33" s="75"/>
      <c r="AG33" s="74">
        <f>IF(AF33&gt;0,AE33/AF33*100,IF(AE33=0,100,120))</f>
        <v>100</v>
      </c>
      <c r="AH33" s="70"/>
      <c r="AI33" s="71"/>
    </row>
    <row r="34" spans="4:35" ht="36.950000000000003" customHeight="1" x14ac:dyDescent="0.25">
      <c r="D34" s="18">
        <v>35.25</v>
      </c>
      <c r="AB34" s="55" t="s">
        <v>518</v>
      </c>
      <c r="AC34" s="72" t="s">
        <v>519</v>
      </c>
      <c r="AE34" s="78"/>
      <c r="AF34" s="78"/>
      <c r="AG34" s="74">
        <f>IF(AF34&gt;0,AE34/AF34*100,IF(AE34=0,100,120))</f>
        <v>100</v>
      </c>
      <c r="AH34" s="70"/>
      <c r="AI34" s="71"/>
    </row>
    <row r="35" spans="4:35" ht="15.75" customHeight="1" x14ac:dyDescent="0.25">
      <c r="D35" s="18">
        <v>15</v>
      </c>
      <c r="AB35" s="55" t="s">
        <v>520</v>
      </c>
      <c r="AC35" s="72" t="s">
        <v>521</v>
      </c>
      <c r="AE35" s="75"/>
      <c r="AF35" s="75"/>
      <c r="AG35" s="74">
        <f>IF(AF35&gt;0,AE35/AF35*100,IF(AE35=0,100,120))</f>
        <v>100</v>
      </c>
      <c r="AH35" s="70"/>
      <c r="AI35" s="71"/>
    </row>
    <row r="36" spans="4:35" ht="26.85" customHeight="1" x14ac:dyDescent="0.25">
      <c r="D36" s="18">
        <v>25.5</v>
      </c>
      <c r="AB36" s="55" t="s">
        <v>522</v>
      </c>
      <c r="AC36" s="72" t="s">
        <v>523</v>
      </c>
      <c r="AE36" s="75"/>
      <c r="AF36" s="75"/>
      <c r="AG36" s="74">
        <f>IF(AF36&gt;0,AE36/AF36*100,IF(AE36=0,100,120))</f>
        <v>100</v>
      </c>
      <c r="AH36" s="70"/>
      <c r="AI36" s="71"/>
    </row>
    <row r="37" spans="4:35" ht="26.85" customHeight="1" x14ac:dyDescent="0.25">
      <c r="D37" s="18">
        <v>25.5</v>
      </c>
      <c r="AB37" s="68" t="s">
        <v>492</v>
      </c>
      <c r="AC37" s="79" t="s">
        <v>524</v>
      </c>
      <c r="AE37" s="76"/>
      <c r="AF37" s="77"/>
      <c r="AG37" s="71"/>
      <c r="AH37" s="70"/>
      <c r="AI37" s="80">
        <f>(AI39+AI40+AI41)/3</f>
        <v>2</v>
      </c>
    </row>
    <row r="38" spans="4:35" ht="15.75" customHeight="1" x14ac:dyDescent="0.25">
      <c r="D38" s="18">
        <v>15</v>
      </c>
      <c r="AB38" s="68"/>
      <c r="AC38" s="79" t="s">
        <v>510</v>
      </c>
      <c r="AE38" s="76"/>
      <c r="AF38" s="77"/>
      <c r="AG38" s="71"/>
      <c r="AH38" s="70"/>
      <c r="AI38" s="71"/>
    </row>
    <row r="39" spans="4:35" ht="15.75" customHeight="1" x14ac:dyDescent="0.25">
      <c r="D39" s="18">
        <v>15</v>
      </c>
      <c r="AB39" s="55" t="s">
        <v>525</v>
      </c>
      <c r="AC39" s="72" t="s">
        <v>526</v>
      </c>
      <c r="AE39" s="78"/>
      <c r="AF39" s="78"/>
      <c r="AG39" s="74">
        <f>IF(AF39&gt;0,AE39/AF39*100,IF(AE39=0,100,120))</f>
        <v>100</v>
      </c>
      <c r="AH39" s="70" t="s">
        <v>512</v>
      </c>
      <c r="AI39" s="74">
        <f>IF(AG39&lt;80,3,IF(AG39&lt;=120,2,1))</f>
        <v>2</v>
      </c>
    </row>
    <row r="40" spans="4:35" ht="26.85" customHeight="1" x14ac:dyDescent="0.25">
      <c r="D40" s="18">
        <v>25.5</v>
      </c>
      <c r="AB40" s="55" t="s">
        <v>527</v>
      </c>
      <c r="AC40" s="72" t="s">
        <v>528</v>
      </c>
      <c r="AE40" s="78"/>
      <c r="AF40" s="78"/>
      <c r="AG40" s="74">
        <f>IF(AF40&gt;0,AE40/AF40*100,IF(AE40=0,100,120))</f>
        <v>100</v>
      </c>
      <c r="AH40" s="70" t="s">
        <v>512</v>
      </c>
      <c r="AI40" s="74">
        <f>IF(AG40&lt;80,3,IF(AG40&lt;=120,2,1))</f>
        <v>2</v>
      </c>
    </row>
    <row r="41" spans="4:35" ht="26.85" customHeight="1" x14ac:dyDescent="0.25">
      <c r="D41" s="18">
        <v>25.5</v>
      </c>
      <c r="AB41" s="55" t="s">
        <v>529</v>
      </c>
      <c r="AC41" s="72" t="s">
        <v>530</v>
      </c>
      <c r="AE41" s="78"/>
      <c r="AF41" s="78"/>
      <c r="AG41" s="74">
        <f>IF(AF41&gt;0,AE41/AF41*100,IF(AE41=0,100,120))</f>
        <v>100</v>
      </c>
      <c r="AH41" s="70" t="s">
        <v>512</v>
      </c>
      <c r="AI41" s="74">
        <f>IF(AG41&lt;80,3,IF(AG41&lt;=120,2,1))</f>
        <v>2</v>
      </c>
    </row>
    <row r="42" spans="4:35" ht="26.85" customHeight="1" x14ac:dyDescent="0.25">
      <c r="D42" s="18">
        <v>25.5</v>
      </c>
      <c r="AB42" s="68" t="s">
        <v>88</v>
      </c>
      <c r="AC42" s="79" t="s">
        <v>531</v>
      </c>
      <c r="AE42" s="78"/>
      <c r="AF42" s="78"/>
      <c r="AG42" s="74">
        <f>IF(AF42&gt;0,AE42/AF42*100,IF(AE42=0,100,120))</f>
        <v>100</v>
      </c>
      <c r="AH42" s="70" t="s">
        <v>512</v>
      </c>
      <c r="AI42" s="74">
        <f>IF(AG42&lt;80,3,IF(AG42&lt;=120,2,1))</f>
        <v>2</v>
      </c>
    </row>
    <row r="43" spans="4:35" ht="26.85" customHeight="1" x14ac:dyDescent="0.25">
      <c r="D43" s="18">
        <v>25.5</v>
      </c>
      <c r="AB43" s="68" t="s">
        <v>95</v>
      </c>
      <c r="AC43" s="79" t="s">
        <v>532</v>
      </c>
      <c r="AE43" s="78"/>
      <c r="AF43" s="78"/>
      <c r="AG43" s="74">
        <f>IF(AF43&gt;0,AE43/AF43*100,IF(AE43=0,100,120))</f>
        <v>100</v>
      </c>
      <c r="AH43" s="70" t="s">
        <v>512</v>
      </c>
      <c r="AI43" s="74">
        <f>IF(AG43&lt;80,3,IF(AG43&lt;=120,2,1))</f>
        <v>2</v>
      </c>
    </row>
    <row r="44" spans="4:35" ht="26.85" customHeight="1" x14ac:dyDescent="0.25">
      <c r="D44" s="18">
        <v>25.5</v>
      </c>
      <c r="AB44" s="68" t="s">
        <v>103</v>
      </c>
      <c r="AC44" s="79" t="s">
        <v>533</v>
      </c>
      <c r="AE44" s="81"/>
      <c r="AF44" s="81"/>
      <c r="AG44" s="74">
        <f>AG45</f>
        <v>100</v>
      </c>
      <c r="AH44" s="70" t="s">
        <v>534</v>
      </c>
      <c r="AI44" s="74">
        <f>AI45</f>
        <v>2</v>
      </c>
    </row>
    <row r="45" spans="4:35" ht="36.950000000000003" customHeight="1" x14ac:dyDescent="0.25">
      <c r="D45" s="18">
        <v>35.25</v>
      </c>
      <c r="AB45" s="55" t="s">
        <v>535</v>
      </c>
      <c r="AC45" s="72" t="s">
        <v>536</v>
      </c>
      <c r="AE45" s="73"/>
      <c r="AF45" s="73"/>
      <c r="AG45" s="74">
        <f>IF(AF45&gt;0,AE45/AF45*100,IF(AE45=0,100,120))</f>
        <v>100</v>
      </c>
      <c r="AH45" s="70" t="s">
        <v>534</v>
      </c>
      <c r="AI45" s="74">
        <f>IF(AG45&gt;120,3,IF(AG45&gt;=80,2,1))</f>
        <v>2</v>
      </c>
    </row>
    <row r="46" spans="4:35" ht="26.85" customHeight="1" x14ac:dyDescent="0.25">
      <c r="D46" s="18">
        <v>25.5</v>
      </c>
      <c r="AB46" s="68" t="s">
        <v>537</v>
      </c>
      <c r="AC46" s="79" t="s">
        <v>538</v>
      </c>
      <c r="AE46" s="76"/>
      <c r="AF46" s="76"/>
      <c r="AG46" s="71"/>
      <c r="AH46" s="70"/>
      <c r="AI46" s="80">
        <f>(AI48+AI49)/2</f>
        <v>2</v>
      </c>
    </row>
    <row r="47" spans="4:35" ht="15.75" customHeight="1" x14ac:dyDescent="0.25">
      <c r="D47" s="18">
        <v>15</v>
      </c>
      <c r="AB47" s="55"/>
      <c r="AC47" s="82" t="s">
        <v>510</v>
      </c>
      <c r="AE47" s="76"/>
      <c r="AF47" s="76"/>
      <c r="AG47" s="71"/>
      <c r="AH47" s="70"/>
      <c r="AI47" s="71"/>
    </row>
    <row r="48" spans="4:35" ht="26.85" customHeight="1" x14ac:dyDescent="0.25">
      <c r="D48" s="18">
        <v>25.5</v>
      </c>
      <c r="AB48" s="55" t="s">
        <v>539</v>
      </c>
      <c r="AC48" s="72" t="s">
        <v>540</v>
      </c>
      <c r="AE48" s="73"/>
      <c r="AF48" s="73"/>
      <c r="AG48" s="74">
        <f>IF(AF48&gt;0,AE48/AF48*100,IF(AE48=0,100,120))</f>
        <v>100</v>
      </c>
      <c r="AH48" s="70" t="s">
        <v>534</v>
      </c>
      <c r="AI48" s="74">
        <f>IF(AG48&gt;120,3,IF(AG48&gt;=80,2,1))</f>
        <v>2</v>
      </c>
    </row>
    <row r="49" spans="4:37" ht="36.950000000000003" customHeight="1" x14ac:dyDescent="0.25">
      <c r="D49" s="18">
        <v>35.25</v>
      </c>
      <c r="AB49" s="55" t="s">
        <v>541</v>
      </c>
      <c r="AC49" s="83" t="s">
        <v>542</v>
      </c>
      <c r="AE49" s="73"/>
      <c r="AF49" s="73"/>
      <c r="AG49" s="74">
        <f>IF(AF49&gt;0,AE49/AF49*100,IF(AE49=0,100,120))</f>
        <v>100</v>
      </c>
      <c r="AH49" s="70" t="s">
        <v>534</v>
      </c>
      <c r="AI49" s="74">
        <f>IF(AG49&gt;120,3,IF(AG49&gt;=80,2,1))</f>
        <v>2</v>
      </c>
    </row>
    <row r="50" spans="4:37" ht="15.75" customHeight="1" x14ac:dyDescent="0.25">
      <c r="D50" s="18">
        <v>15</v>
      </c>
      <c r="AB50" s="68" t="s">
        <v>543</v>
      </c>
      <c r="AC50" s="79" t="s">
        <v>544</v>
      </c>
      <c r="AE50" s="69"/>
      <c r="AF50" s="69"/>
      <c r="AG50" s="69"/>
      <c r="AH50" s="70"/>
      <c r="AI50" s="80">
        <f>(AI28+AI37+AI42+AI43+AI44+AI46)/6</f>
        <v>2</v>
      </c>
    </row>
    <row r="51" spans="4:37" ht="5.45" customHeight="1" x14ac:dyDescent="0.25">
      <c r="D51" s="18">
        <v>5.25</v>
      </c>
    </row>
    <row r="52" spans="4:37" ht="31.5" customHeight="1" x14ac:dyDescent="0.25">
      <c r="D52" s="18">
        <v>30</v>
      </c>
      <c r="AB52" s="84"/>
      <c r="AC52" s="16" t="str">
        <f>IF(LEN(ruk_dol)=0,"",ruk_dol)</f>
        <v>Генеральный директор</v>
      </c>
      <c r="AD52" s="277" t="str">
        <f>IF(LEN(ruk_FIO)=0,"",ruk_FIO)</f>
        <v>Мурадов Сергей Юрьевич</v>
      </c>
      <c r="AE52" s="277"/>
      <c r="AF52" s="277"/>
      <c r="AG52" s="278"/>
      <c r="AH52" s="278"/>
      <c r="AI52" s="278"/>
    </row>
    <row r="53" spans="4:37" ht="15.75" customHeight="1" x14ac:dyDescent="0.25">
      <c r="D53" s="18">
        <v>15</v>
      </c>
      <c r="AC53" s="86" t="s">
        <v>445</v>
      </c>
      <c r="AD53" s="279" t="s">
        <v>545</v>
      </c>
      <c r="AE53" s="252"/>
      <c r="AF53" s="252"/>
      <c r="AG53" s="279" t="s">
        <v>546</v>
      </c>
      <c r="AH53" s="252"/>
      <c r="AI53" s="252"/>
    </row>
    <row r="54" spans="4:37" ht="11.85" customHeight="1" x14ac:dyDescent="0.25">
      <c r="D54" s="18">
        <v>11.25</v>
      </c>
      <c r="AB54" s="16"/>
      <c r="AH54" s="16"/>
      <c r="AI54" s="16"/>
      <c r="AJ54" s="16"/>
    </row>
    <row r="55" spans="4:37" ht="11.25" hidden="1" customHeight="1" x14ac:dyDescent="0.25">
      <c r="D55" s="18">
        <v>0</v>
      </c>
      <c r="AK55" t="s">
        <v>457</v>
      </c>
    </row>
  </sheetData>
  <sheetProtection formatColumns="0" formatRows="0" insertRows="0" deleteColumns="0" deleteRows="0" sort="0" autoFilter="0"/>
  <mergeCells count="14">
    <mergeCell ref="AB21:AD21"/>
    <mergeCell ref="AB22:AI22"/>
    <mergeCell ref="AB23:AC23"/>
    <mergeCell ref="AB24:AB26"/>
    <mergeCell ref="AC24:AC26"/>
    <mergeCell ref="AE24:AI24"/>
    <mergeCell ref="AE25:AF25"/>
    <mergeCell ref="AD52:AF52"/>
    <mergeCell ref="AG52:AI52"/>
    <mergeCell ref="AD53:AF53"/>
    <mergeCell ref="AG53:AI53"/>
    <mergeCell ref="AG25:AG26"/>
    <mergeCell ref="AH25:AH26"/>
    <mergeCell ref="AI25:AI26"/>
  </mergeCells>
  <dataValidations count="3">
    <dataValidation type="list" allowBlank="1" showInputMessage="1" showErrorMessage="1" sqref="AE34:AF34 AE39:AF43" xr:uid="{00000000-0002-0000-0900-000000000000}">
      <formula1>"0,1"</formula1>
    </dataValidation>
    <dataValidation type="decimal" allowBlank="1" showErrorMessage="1" errorTitle="Ошибка" error="Допускается ввод только неотрицательных чисел!" sqref="AE48:AF49 AE30:AF30 AE45 AF45" xr:uid="{00000000-0002-0000-0900-000001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AE31:AF31 AE35:AF36 AE33:AF33" xr:uid="{00000000-0002-0000-0900-000002000000}">
      <formula1>0</formula1>
      <formula2>9.99999999999999E+23</formula2>
    </dataValidation>
  </dataValidation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4AAD-3E3C-491E-4E2A-051586214B01}">
  <sheetPr>
    <tabColor theme="3" tint="0.79998168889431442"/>
    <pageSetUpPr fitToPage="1"/>
  </sheetPr>
  <dimension ref="A1:AJ48"/>
  <sheetViews>
    <sheetView showGridLines="0" workbookViewId="0">
      <pane xSplit="30" ySplit="27" topLeftCell="AE28" activePane="bottomRight" state="frozen"/>
      <selection pane="topRight" activeCell="AE1" sqref="AE1"/>
      <selection pane="bottomLeft" activeCell="A28" sqref="A28"/>
      <selection pane="bottomRight" activeCell="AA20" sqref="AA20"/>
    </sheetView>
  </sheetViews>
  <sheetFormatPr defaultColWidth="9.140625" defaultRowHeight="11.25" customHeight="1" x14ac:dyDescent="0.25"/>
  <cols>
    <col min="1" max="26" width="7.5703125" hidden="1" customWidth="1"/>
    <col min="27" max="28" width="6" customWidth="1"/>
    <col min="29" max="29" width="95.85546875" customWidth="1"/>
    <col min="30" max="30" width="0.85546875" hidden="1" customWidth="1"/>
    <col min="31" max="31" width="12.5703125" customWidth="1"/>
    <col min="32" max="32" width="11.5703125" customWidth="1"/>
    <col min="33" max="33" width="10.7109375" customWidth="1"/>
    <col min="34" max="34" width="8.42578125" customWidth="1"/>
    <col min="36" max="36" width="1.7109375" hidden="1" customWidth="1"/>
  </cols>
  <sheetData>
    <row r="1" spans="4:36" ht="17.25" hidden="1" customHeight="1" x14ac:dyDescent="0.25"/>
    <row r="2" spans="4:36" ht="17.25" hidden="1" customHeight="1" x14ac:dyDescent="0.25">
      <c r="AA2" s="18" t="b">
        <f>TRUE</f>
        <v>1</v>
      </c>
    </row>
    <row r="3" spans="4:36" ht="17.25" hidden="1" customHeight="1" x14ac:dyDescent="0.25"/>
    <row r="4" spans="4:36" ht="17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6</v>
      </c>
      <c r="AC4" s="18">
        <v>95.86</v>
      </c>
      <c r="AD4" s="18">
        <v>0</v>
      </c>
      <c r="AE4" s="18">
        <v>12.57</v>
      </c>
      <c r="AF4" s="18">
        <v>11.57</v>
      </c>
      <c r="AG4" s="18">
        <v>10</v>
      </c>
      <c r="AH4" s="18">
        <v>8.43</v>
      </c>
      <c r="AI4" s="18">
        <v>8.43</v>
      </c>
      <c r="AJ4" s="18">
        <v>0</v>
      </c>
    </row>
    <row r="5" spans="4:36" ht="17.25" hidden="1" customHeight="1" x14ac:dyDescent="0.25">
      <c r="D5" s="18">
        <v>25</v>
      </c>
    </row>
    <row r="6" spans="4:36" ht="17.25" hidden="1" customHeight="1" x14ac:dyDescent="0.25">
      <c r="D6" s="18">
        <v>25</v>
      </c>
    </row>
    <row r="7" spans="4:36" ht="17.25" hidden="1" customHeight="1" x14ac:dyDescent="0.25">
      <c r="D7" s="18">
        <v>25</v>
      </c>
    </row>
    <row r="8" spans="4:36" ht="17.25" hidden="1" customHeight="1" x14ac:dyDescent="0.25">
      <c r="D8" s="18">
        <v>25</v>
      </c>
    </row>
    <row r="9" spans="4:36" ht="17.25" hidden="1" customHeight="1" x14ac:dyDescent="0.25">
      <c r="D9" s="18">
        <v>25</v>
      </c>
    </row>
    <row r="10" spans="4:36" ht="17.25" hidden="1" customHeight="1" x14ac:dyDescent="0.25">
      <c r="D10" s="18">
        <v>25</v>
      </c>
    </row>
    <row r="11" spans="4:36" ht="17.25" hidden="1" customHeight="1" x14ac:dyDescent="0.25">
      <c r="D11" s="18">
        <v>25</v>
      </c>
    </row>
    <row r="12" spans="4:36" ht="17.25" hidden="1" customHeight="1" x14ac:dyDescent="0.25">
      <c r="D12" s="18">
        <v>25</v>
      </c>
    </row>
    <row r="13" spans="4:36" ht="17.25" hidden="1" customHeight="1" x14ac:dyDescent="0.25">
      <c r="D13" s="18">
        <v>25</v>
      </c>
    </row>
    <row r="14" spans="4:36" ht="17.25" hidden="1" customHeight="1" x14ac:dyDescent="0.25">
      <c r="D14" s="18">
        <v>25</v>
      </c>
    </row>
    <row r="15" spans="4:36" ht="17.25" hidden="1" customHeight="1" x14ac:dyDescent="0.25">
      <c r="D15" s="18">
        <v>25</v>
      </c>
    </row>
    <row r="16" spans="4:36" ht="17.25" hidden="1" customHeight="1" x14ac:dyDescent="0.25">
      <c r="D16" s="18">
        <v>25</v>
      </c>
    </row>
    <row r="17" spans="4:35" ht="17.25" hidden="1" customHeight="1" x14ac:dyDescent="0.25">
      <c r="D17" s="18">
        <v>25</v>
      </c>
    </row>
    <row r="18" spans="4:35" ht="17.25" hidden="1" customHeight="1" x14ac:dyDescent="0.25">
      <c r="D18" s="18">
        <v>25</v>
      </c>
    </row>
    <row r="19" spans="4:35" ht="17.25" hidden="1" customHeight="1" x14ac:dyDescent="0.25">
      <c r="D19" s="18">
        <v>25</v>
      </c>
    </row>
    <row r="20" spans="4:35" ht="15.75" customHeight="1" x14ac:dyDescent="0.25">
      <c r="D20" s="18">
        <v>15</v>
      </c>
    </row>
    <row r="21" spans="4:35" ht="36.75" customHeight="1" x14ac:dyDescent="0.25">
      <c r="D21" s="18">
        <v>35</v>
      </c>
      <c r="AB21" s="286" t="str">
        <f>ORG</f>
        <v>АО "КСК"</v>
      </c>
      <c r="AC21" s="287"/>
      <c r="AD21" s="287"/>
      <c r="AE21" s="88"/>
      <c r="AF21" s="88"/>
      <c r="AG21" s="88"/>
      <c r="AI21" s="89"/>
    </row>
    <row r="22" spans="4:35" ht="21.2" customHeight="1" x14ac:dyDescent="0.25">
      <c r="D22" s="18">
        <v>20.25</v>
      </c>
      <c r="AB22" s="288" t="s">
        <v>547</v>
      </c>
      <c r="AC22" s="288"/>
      <c r="AD22" s="288"/>
      <c r="AE22" s="288"/>
      <c r="AF22" s="288"/>
      <c r="AG22" s="288"/>
      <c r="AH22" s="288"/>
      <c r="AI22" s="288"/>
    </row>
    <row r="23" spans="4:35" ht="5.45" customHeight="1" x14ac:dyDescent="0.25">
      <c r="D23" s="18">
        <v>5.25</v>
      </c>
      <c r="AB23" s="252"/>
      <c r="AC23" s="252"/>
      <c r="AF23" s="90"/>
      <c r="AG23" s="90"/>
      <c r="AH23" s="91"/>
      <c r="AI23" s="90"/>
    </row>
    <row r="24" spans="4:35" ht="15.75" customHeight="1" x14ac:dyDescent="0.25">
      <c r="D24" s="18">
        <v>15</v>
      </c>
      <c r="AB24" s="289" t="s">
        <v>501</v>
      </c>
      <c r="AC24" s="289" t="s">
        <v>502</v>
      </c>
      <c r="AE24" s="294" t="str">
        <f>IF(PRD="","Не определено",PRD)&amp;" год"</f>
        <v>2023 год</v>
      </c>
      <c r="AF24" s="295"/>
      <c r="AG24" s="295"/>
      <c r="AH24" s="295"/>
      <c r="AI24" s="296"/>
    </row>
    <row r="25" spans="4:35" ht="15.75" customHeight="1" x14ac:dyDescent="0.25">
      <c r="D25" s="18">
        <v>15</v>
      </c>
      <c r="AB25" s="289"/>
      <c r="AC25" s="289"/>
      <c r="AE25" s="292" t="s">
        <v>503</v>
      </c>
      <c r="AF25" s="292"/>
      <c r="AG25" s="292" t="s">
        <v>504</v>
      </c>
      <c r="AH25" s="282" t="s">
        <v>548</v>
      </c>
      <c r="AI25" s="292" t="s">
        <v>549</v>
      </c>
    </row>
    <row r="26" spans="4:35" ht="26.85" customHeight="1" x14ac:dyDescent="0.25">
      <c r="D26" s="18">
        <v>25.5</v>
      </c>
      <c r="AB26" s="289"/>
      <c r="AC26" s="289"/>
      <c r="AE26" s="55" t="s">
        <v>550</v>
      </c>
      <c r="AF26" s="55" t="s">
        <v>551</v>
      </c>
      <c r="AG26" s="289"/>
      <c r="AH26" s="293"/>
      <c r="AI26" s="289"/>
    </row>
    <row r="27" spans="4:35" ht="1.5" customHeight="1" x14ac:dyDescent="0.25">
      <c r="D27" s="18">
        <v>1.5</v>
      </c>
    </row>
    <row r="28" spans="4:35" ht="15.75" customHeight="1" x14ac:dyDescent="0.25">
      <c r="D28" s="18">
        <v>15</v>
      </c>
      <c r="AB28" s="68" t="s">
        <v>58</v>
      </c>
      <c r="AC28" s="92" t="s">
        <v>552</v>
      </c>
      <c r="AE28" s="69"/>
      <c r="AF28" s="69"/>
      <c r="AG28" s="71"/>
      <c r="AH28" s="70"/>
      <c r="AI28" s="80">
        <f>(AI30+AI31+AI34)/3</f>
        <v>0.5</v>
      </c>
    </row>
    <row r="29" spans="4:35" ht="15.75" customHeight="1" x14ac:dyDescent="0.25">
      <c r="D29" s="18">
        <v>15</v>
      </c>
      <c r="AB29" s="68"/>
      <c r="AC29" s="92" t="s">
        <v>510</v>
      </c>
      <c r="AE29" s="69"/>
      <c r="AF29" s="69"/>
      <c r="AG29" s="71"/>
      <c r="AH29" s="70"/>
      <c r="AI29" s="69"/>
    </row>
    <row r="30" spans="4:35" ht="26.85" customHeight="1" x14ac:dyDescent="0.25">
      <c r="D30" s="18">
        <v>25.5</v>
      </c>
      <c r="AB30" s="55" t="s">
        <v>149</v>
      </c>
      <c r="AC30" s="83" t="s">
        <v>553</v>
      </c>
      <c r="AE30" s="93"/>
      <c r="AF30" s="93"/>
      <c r="AG30" s="74">
        <f>IF(AF30&gt;0,AE30/AF30*100,IF(AE30=0,100,120))</f>
        <v>100</v>
      </c>
      <c r="AH30" s="70" t="s">
        <v>534</v>
      </c>
      <c r="AI30" s="94">
        <f>IF(AG30&gt;120,0.75,IF(AG30&gt;=80,0.5,0.25))</f>
        <v>0.5</v>
      </c>
    </row>
    <row r="31" spans="4:35" ht="26.85" customHeight="1" x14ac:dyDescent="0.25">
      <c r="D31" s="18">
        <v>25.5</v>
      </c>
      <c r="AB31" s="55" t="s">
        <v>513</v>
      </c>
      <c r="AC31" s="83" t="s">
        <v>554</v>
      </c>
      <c r="AE31" s="69"/>
      <c r="AF31" s="69"/>
      <c r="AG31" s="71"/>
      <c r="AH31" s="70" t="s">
        <v>534</v>
      </c>
      <c r="AI31" s="80">
        <f>AVERAGE(AI32:AI33)</f>
        <v>0.5</v>
      </c>
    </row>
    <row r="32" spans="4:35" ht="26.85" customHeight="1" x14ac:dyDescent="0.25">
      <c r="D32" s="18">
        <v>25.5</v>
      </c>
      <c r="AB32" s="55" t="s">
        <v>516</v>
      </c>
      <c r="AC32" s="83" t="s">
        <v>555</v>
      </c>
      <c r="AE32" s="93"/>
      <c r="AF32" s="93"/>
      <c r="AG32" s="74">
        <f>IF(AF32&gt;0,AE32/AF32*100,IF(AE32=0,100,120))</f>
        <v>100</v>
      </c>
      <c r="AH32" s="70"/>
      <c r="AI32" s="94">
        <f>IF(AG32&gt;120,0.75,IF(AG32&gt;=80,0.5,0.25))</f>
        <v>0.5</v>
      </c>
    </row>
    <row r="33" spans="4:36" ht="15.75" customHeight="1" x14ac:dyDescent="0.25">
      <c r="D33" s="18">
        <v>15</v>
      </c>
      <c r="AB33" s="55" t="s">
        <v>518</v>
      </c>
      <c r="AC33" s="83" t="s">
        <v>556</v>
      </c>
      <c r="AE33" s="93"/>
      <c r="AF33" s="93"/>
      <c r="AG33" s="74">
        <f>IF(AF33&gt;0,AE33/AF33*100,IF(AE33=0,100,120))</f>
        <v>100</v>
      </c>
      <c r="AH33" s="70"/>
      <c r="AI33" s="94">
        <f>IF(AG33&lt;80,0.25,IF(AG33&gt;=80,IF(AG33&lt;=120,0.5,0.75)))</f>
        <v>0.5</v>
      </c>
    </row>
    <row r="34" spans="4:36" ht="36.950000000000003" customHeight="1" x14ac:dyDescent="0.25">
      <c r="D34" s="18">
        <v>35.25</v>
      </c>
      <c r="AB34" s="55" t="s">
        <v>557</v>
      </c>
      <c r="AC34" s="83" t="s">
        <v>558</v>
      </c>
      <c r="AE34" s="73"/>
      <c r="AF34" s="73"/>
      <c r="AG34" s="74">
        <f>IF(AF34&gt;0,AE34/AF34*100,IF(AE34=0,100,120))</f>
        <v>100</v>
      </c>
      <c r="AH34" s="70" t="s">
        <v>534</v>
      </c>
      <c r="AI34" s="94">
        <f>IF(AG34&gt;120,0.75,IF(AG34&gt;=80,0.5,0.25))</f>
        <v>0.5</v>
      </c>
    </row>
    <row r="35" spans="4:36" ht="26.85" customHeight="1" x14ac:dyDescent="0.25">
      <c r="D35" s="18">
        <v>25.5</v>
      </c>
      <c r="AB35" s="68" t="s">
        <v>492</v>
      </c>
      <c r="AC35" s="95" t="s">
        <v>559</v>
      </c>
      <c r="AE35" s="96"/>
      <c r="AF35" s="96"/>
      <c r="AG35" s="74">
        <f>AG36</f>
        <v>100</v>
      </c>
      <c r="AH35" s="70" t="s">
        <v>534</v>
      </c>
      <c r="AI35" s="94">
        <f>AI36</f>
        <v>0.5</v>
      </c>
    </row>
    <row r="36" spans="4:36" ht="26.85" customHeight="1" x14ac:dyDescent="0.25">
      <c r="D36" s="18">
        <v>25.5</v>
      </c>
      <c r="AB36" s="55" t="s">
        <v>525</v>
      </c>
      <c r="AC36" s="83" t="s">
        <v>560</v>
      </c>
      <c r="AE36" s="73"/>
      <c r="AF36" s="73"/>
      <c r="AG36" s="74">
        <f>IF(AF36&gt;0,AE36/AF36*100,IF(AE36=0,100,120))</f>
        <v>100</v>
      </c>
      <c r="AH36" s="70" t="s">
        <v>534</v>
      </c>
      <c r="AI36" s="94">
        <f>IF(AG36&gt;120,0.75,IF(AG36&gt;=80,0.5,0.25))</f>
        <v>0.5</v>
      </c>
    </row>
    <row r="37" spans="4:36" ht="15.75" customHeight="1" x14ac:dyDescent="0.25">
      <c r="D37" s="18">
        <v>15</v>
      </c>
      <c r="AB37" s="68" t="s">
        <v>88</v>
      </c>
      <c r="AC37" s="92" t="s">
        <v>561</v>
      </c>
      <c r="AE37" s="69"/>
      <c r="AF37" s="69"/>
      <c r="AG37" s="71"/>
      <c r="AH37" s="70"/>
      <c r="AI37" s="80">
        <f>(AI39+AI40)/2</f>
        <v>0.5</v>
      </c>
    </row>
    <row r="38" spans="4:36" ht="15.75" customHeight="1" x14ac:dyDescent="0.25">
      <c r="D38" s="18">
        <v>15</v>
      </c>
      <c r="AB38" s="68"/>
      <c r="AC38" s="92" t="s">
        <v>510</v>
      </c>
      <c r="AE38" s="69"/>
      <c r="AF38" s="69"/>
      <c r="AG38" s="71"/>
      <c r="AH38" s="70"/>
      <c r="AI38" s="81"/>
    </row>
    <row r="39" spans="4:36" ht="26.85" customHeight="1" x14ac:dyDescent="0.25">
      <c r="D39" s="18">
        <v>25.5</v>
      </c>
      <c r="AB39" s="55" t="s">
        <v>562</v>
      </c>
      <c r="AC39" s="83" t="s">
        <v>563</v>
      </c>
      <c r="AE39" s="78"/>
      <c r="AF39" s="78"/>
      <c r="AG39" s="74">
        <f>IF(AF39&gt;0,AE39/AF39*100,IF(AE39=0,100,120))</f>
        <v>100</v>
      </c>
      <c r="AH39" s="70" t="s">
        <v>512</v>
      </c>
      <c r="AI39" s="94">
        <f>IF(AG39&lt;80,0.75,IF(AG39&lt;=120,0.5,0.25))</f>
        <v>0.5</v>
      </c>
    </row>
    <row r="40" spans="4:36" ht="36.950000000000003" customHeight="1" x14ac:dyDescent="0.25">
      <c r="D40" s="18">
        <v>35.25</v>
      </c>
      <c r="AB40" s="55" t="s">
        <v>564</v>
      </c>
      <c r="AC40" s="83" t="s">
        <v>565</v>
      </c>
      <c r="AE40" s="73"/>
      <c r="AF40" s="73"/>
      <c r="AG40" s="74">
        <f>IF(AF40&gt;0,AE40/AF40*100,IF(AE40=0,100,120))</f>
        <v>100</v>
      </c>
      <c r="AH40" s="70" t="s">
        <v>534</v>
      </c>
      <c r="AI40" s="94">
        <f>IF(AG40&gt;120,0.75,IF(AG40&gt;=80,0.5,0.25))</f>
        <v>0.5</v>
      </c>
    </row>
    <row r="41" spans="4:36" ht="26.85" customHeight="1" x14ac:dyDescent="0.25">
      <c r="D41" s="18">
        <v>25.5</v>
      </c>
      <c r="AB41" s="68" t="s">
        <v>95</v>
      </c>
      <c r="AC41" s="92" t="s">
        <v>566</v>
      </c>
      <c r="AE41" s="96"/>
      <c r="AF41" s="96"/>
      <c r="AG41" s="74">
        <f>AG42</f>
        <v>100</v>
      </c>
      <c r="AH41" s="70" t="s">
        <v>534</v>
      </c>
      <c r="AI41" s="94">
        <f>AI42</f>
        <v>0.2</v>
      </c>
    </row>
    <row r="42" spans="4:36" ht="36.950000000000003" customHeight="1" x14ac:dyDescent="0.25">
      <c r="D42" s="18">
        <v>35.25</v>
      </c>
      <c r="AB42" s="55" t="s">
        <v>567</v>
      </c>
      <c r="AC42" s="83" t="s">
        <v>568</v>
      </c>
      <c r="AE42" s="73"/>
      <c r="AF42" s="73"/>
      <c r="AG42" s="74">
        <f>IF(AF42&gt;0,AE42/AF42*100,IF(AE42=0,100,120))</f>
        <v>100</v>
      </c>
      <c r="AH42" s="70" t="s">
        <v>534</v>
      </c>
      <c r="AI42" s="94">
        <f>IF(AG42&gt;120,0.3,IF(AG42&gt;=80,0.2,0.1))</f>
        <v>0.2</v>
      </c>
    </row>
    <row r="43" spans="4:36" ht="15.75" customHeight="1" x14ac:dyDescent="0.25">
      <c r="D43" s="18">
        <v>15</v>
      </c>
      <c r="AB43" s="68" t="s">
        <v>103</v>
      </c>
      <c r="AC43" s="92" t="s">
        <v>569</v>
      </c>
      <c r="AE43" s="69"/>
      <c r="AF43" s="69"/>
      <c r="AG43" s="71"/>
      <c r="AH43" s="70"/>
      <c r="AI43" s="80">
        <f>(AI28+AI35+AI37+AI41)/4</f>
        <v>0.42499999999999999</v>
      </c>
    </row>
    <row r="44" spans="4:36" ht="5.45" customHeight="1" x14ac:dyDescent="0.25">
      <c r="D44" s="18">
        <v>5.25</v>
      </c>
    </row>
    <row r="45" spans="4:36" ht="31.5" customHeight="1" x14ac:dyDescent="0.25">
      <c r="D45" s="18">
        <v>30</v>
      </c>
      <c r="AB45" s="84"/>
      <c r="AC45" s="16" t="str">
        <f>IF(LEN(ruk_dol)=0,"",ruk_dol)</f>
        <v>Генеральный директор</v>
      </c>
      <c r="AD45" s="277"/>
      <c r="AE45" s="277"/>
      <c r="AF45" s="277"/>
      <c r="AG45" s="278"/>
      <c r="AH45" s="278"/>
      <c r="AI45" s="278"/>
    </row>
    <row r="46" spans="4:36" ht="15.75" customHeight="1" x14ac:dyDescent="0.25">
      <c r="D46" s="18">
        <v>15</v>
      </c>
      <c r="AC46" s="86" t="s">
        <v>445</v>
      </c>
      <c r="AD46" s="252"/>
      <c r="AE46" s="252"/>
      <c r="AF46" s="252"/>
      <c r="AG46" s="279" t="s">
        <v>546</v>
      </c>
      <c r="AH46" s="252"/>
      <c r="AI46" s="252"/>
    </row>
    <row r="47" spans="4:36" ht="11.85" customHeight="1" x14ac:dyDescent="0.25">
      <c r="D47" s="18">
        <v>11.25</v>
      </c>
      <c r="AB47" s="16"/>
      <c r="AC47" s="16"/>
      <c r="AD47" s="16"/>
      <c r="AI47" s="97"/>
    </row>
    <row r="48" spans="4:36" ht="11.25" hidden="1" customHeight="1" x14ac:dyDescent="0.25">
      <c r="D48" s="18">
        <v>0</v>
      </c>
      <c r="AJ48" t="s">
        <v>457</v>
      </c>
    </row>
  </sheetData>
  <sheetProtection formatColumns="0" formatRows="0" insertRows="0" deleteColumns="0" deleteRows="0" sort="0" autoFilter="0"/>
  <mergeCells count="14">
    <mergeCell ref="AB21:AD21"/>
    <mergeCell ref="AB22:AI22"/>
    <mergeCell ref="AB23:AC23"/>
    <mergeCell ref="AB24:AB26"/>
    <mergeCell ref="AC24:AC26"/>
    <mergeCell ref="AE24:AI24"/>
    <mergeCell ref="AE25:AF25"/>
    <mergeCell ref="AD45:AF45"/>
    <mergeCell ref="AG45:AI45"/>
    <mergeCell ref="AD46:AF46"/>
    <mergeCell ref="AG46:AI46"/>
    <mergeCell ref="AG25:AG26"/>
    <mergeCell ref="AH25:AH26"/>
    <mergeCell ref="AI25:AI26"/>
  </mergeCells>
  <dataValidations count="2">
    <dataValidation type="list" allowBlank="1" showInputMessage="1" showErrorMessage="1" sqref="AE39:AF39" xr:uid="{00000000-0002-0000-0A00-000000000000}">
      <formula1>"0,1"</formula1>
    </dataValidation>
    <dataValidation type="decimal" allowBlank="1" showErrorMessage="1" errorTitle="Ошибка" error="Допускается ввод только неотрицательных чисел!" sqref="AF36 AE30:AF30 AE36 AE32:AE34 AF32:AF34 AE42 AE40 AF40 AF42" xr:uid="{00000000-0002-0000-0A00-000001000000}">
      <formula1>0</formula1>
      <formula2>9.99999999999999E+23</formula2>
    </dataValidation>
  </dataValidations>
  <pageMargins left="0.75" right="0.75" top="0.98" bottom="0.98" header="0.51" footer="0.51"/>
  <pageSetup paperSize="9" scale="3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65D2-F6B9-C6D1-6321-C93B210F38D9}">
  <sheetPr>
    <tabColor theme="3" tint="0.79998168889431442"/>
    <pageSetUpPr fitToPage="1"/>
  </sheetPr>
  <dimension ref="A1:AK61"/>
  <sheetViews>
    <sheetView showGridLines="0" workbookViewId="0">
      <pane xSplit="30" ySplit="27" topLeftCell="AE28" activePane="bottomRight" state="frozen"/>
      <selection pane="topRight" activeCell="AE1" sqref="AE1"/>
      <selection pane="bottomLeft" activeCell="A28" sqref="A28"/>
      <selection pane="bottomRight" activeCell="AA20" sqref="AA20"/>
    </sheetView>
  </sheetViews>
  <sheetFormatPr defaultColWidth="9.140625" defaultRowHeight="11.25" customHeight="1" x14ac:dyDescent="0.25"/>
  <cols>
    <col min="1" max="26" width="6.85546875" hidden="1" customWidth="1"/>
    <col min="27" max="28" width="6" customWidth="1"/>
    <col min="29" max="29" width="95.5703125" customWidth="1"/>
    <col min="30" max="30" width="0.85546875" hidden="1" customWidth="1"/>
    <col min="31" max="32" width="13" customWidth="1"/>
    <col min="33" max="33" width="13.42578125" customWidth="1"/>
    <col min="34" max="34" width="12" customWidth="1"/>
    <col min="35" max="35" width="15" customWidth="1"/>
    <col min="36" max="36" width="1.140625" hidden="1" customWidth="1"/>
    <col min="37" max="37" width="9.140625" hidden="1"/>
  </cols>
  <sheetData>
    <row r="1" spans="4:37" ht="10.5" hidden="1" customHeight="1" x14ac:dyDescent="0.25"/>
    <row r="2" spans="4:37" ht="10.5" hidden="1" customHeight="1" x14ac:dyDescent="0.25"/>
    <row r="3" spans="4:37" ht="10.5" hidden="1" customHeight="1" x14ac:dyDescent="0.25"/>
    <row r="4" spans="4:37" ht="10.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6</v>
      </c>
      <c r="AC4" s="18">
        <v>95.57</v>
      </c>
      <c r="AD4" s="18">
        <v>0</v>
      </c>
      <c r="AE4" s="18">
        <v>13</v>
      </c>
      <c r="AF4" s="18">
        <v>13</v>
      </c>
      <c r="AG4" s="18">
        <v>12.71</v>
      </c>
      <c r="AH4" s="18">
        <v>12</v>
      </c>
      <c r="AI4" s="18">
        <v>15</v>
      </c>
      <c r="AJ4" s="18">
        <v>0</v>
      </c>
      <c r="AK4" s="19">
        <v>0</v>
      </c>
    </row>
    <row r="5" spans="4:37" ht="10.5" hidden="1" customHeight="1" x14ac:dyDescent="0.25">
      <c r="D5" s="18">
        <v>25</v>
      </c>
    </row>
    <row r="6" spans="4:37" ht="10.5" hidden="1" customHeight="1" x14ac:dyDescent="0.25">
      <c r="D6" s="18">
        <v>25</v>
      </c>
    </row>
    <row r="7" spans="4:37" ht="10.5" hidden="1" customHeight="1" x14ac:dyDescent="0.25">
      <c r="D7" s="18">
        <v>25</v>
      </c>
    </row>
    <row r="8" spans="4:37" ht="10.5" hidden="1" customHeight="1" x14ac:dyDescent="0.25">
      <c r="D8" s="18">
        <v>25</v>
      </c>
      <c r="AE8" s="89"/>
      <c r="AF8" s="89"/>
      <c r="AJ8" s="98"/>
    </row>
    <row r="9" spans="4:37" ht="10.5" hidden="1" customHeight="1" x14ac:dyDescent="0.25">
      <c r="D9" s="18">
        <v>25</v>
      </c>
      <c r="AE9" s="89"/>
      <c r="AF9" s="89"/>
      <c r="AJ9" s="98"/>
    </row>
    <row r="10" spans="4:37" ht="10.5" hidden="1" customHeight="1" x14ac:dyDescent="0.25">
      <c r="D10" s="18">
        <v>25</v>
      </c>
      <c r="AE10" s="89"/>
      <c r="AF10" s="89"/>
      <c r="AJ10" s="98"/>
    </row>
    <row r="11" spans="4:37" ht="10.5" hidden="1" customHeight="1" x14ac:dyDescent="0.25">
      <c r="D11" s="18">
        <v>25</v>
      </c>
      <c r="AE11" s="89"/>
      <c r="AF11" s="89"/>
      <c r="AJ11" s="98"/>
    </row>
    <row r="12" spans="4:37" ht="10.5" hidden="1" customHeight="1" x14ac:dyDescent="0.25">
      <c r="D12" s="18">
        <v>25</v>
      </c>
      <c r="AE12" s="89"/>
      <c r="AF12" s="89"/>
      <c r="AJ12" s="98"/>
    </row>
    <row r="13" spans="4:37" ht="10.5" hidden="1" customHeight="1" x14ac:dyDescent="0.25">
      <c r="D13" s="18">
        <v>25</v>
      </c>
      <c r="AE13" s="89"/>
      <c r="AF13" s="89"/>
      <c r="AJ13" s="98"/>
    </row>
    <row r="14" spans="4:37" ht="10.5" hidden="1" customHeight="1" x14ac:dyDescent="0.25">
      <c r="D14" s="18">
        <v>25</v>
      </c>
      <c r="AE14" s="89"/>
      <c r="AF14" s="89"/>
      <c r="AJ14" s="98"/>
    </row>
    <row r="15" spans="4:37" ht="10.5" hidden="1" customHeight="1" x14ac:dyDescent="0.25">
      <c r="D15" s="18">
        <v>25</v>
      </c>
      <c r="AE15" s="89"/>
      <c r="AF15" s="89"/>
      <c r="AJ15" s="98"/>
    </row>
    <row r="16" spans="4:37" ht="10.5" hidden="1" customHeight="1" x14ac:dyDescent="0.25">
      <c r="D16" s="18">
        <v>25</v>
      </c>
      <c r="AE16" s="89"/>
      <c r="AF16" s="89"/>
      <c r="AJ16" s="98"/>
    </row>
    <row r="17" spans="4:36" ht="10.5" hidden="1" customHeight="1" x14ac:dyDescent="0.25">
      <c r="D17" s="18">
        <v>25</v>
      </c>
      <c r="AE17" s="89"/>
      <c r="AF17" s="89"/>
      <c r="AJ17" s="98"/>
    </row>
    <row r="18" spans="4:36" ht="10.5" hidden="1" customHeight="1" x14ac:dyDescent="0.25">
      <c r="D18" s="18">
        <v>25</v>
      </c>
      <c r="AE18" s="89"/>
      <c r="AF18" s="89"/>
      <c r="AJ18" s="98"/>
    </row>
    <row r="19" spans="4:36" ht="10.5" hidden="1" customHeight="1" x14ac:dyDescent="0.25">
      <c r="D19" s="18">
        <v>25</v>
      </c>
      <c r="AE19" s="89"/>
      <c r="AF19" s="89"/>
      <c r="AJ19" s="98"/>
    </row>
    <row r="20" spans="4:36" ht="15.75" customHeight="1" x14ac:dyDescent="0.25">
      <c r="D20" s="18">
        <v>15</v>
      </c>
      <c r="AE20" s="89"/>
      <c r="AF20" s="89"/>
      <c r="AJ20" s="98"/>
    </row>
    <row r="21" spans="4:36" ht="36.75" customHeight="1" x14ac:dyDescent="0.25">
      <c r="D21" s="18">
        <v>35</v>
      </c>
      <c r="AB21" s="286" t="str">
        <f>ORG</f>
        <v>АО "КСК"</v>
      </c>
      <c r="AC21" s="287"/>
      <c r="AD21" s="287"/>
      <c r="AJ21" s="98"/>
    </row>
    <row r="22" spans="4:36" ht="19.7" customHeight="1" x14ac:dyDescent="0.25">
      <c r="D22" s="18">
        <v>18.75</v>
      </c>
      <c r="AB22" s="288" t="s">
        <v>570</v>
      </c>
      <c r="AC22" s="288"/>
      <c r="AD22" s="288"/>
      <c r="AE22" s="288"/>
      <c r="AF22" s="288"/>
      <c r="AG22" s="288"/>
      <c r="AH22" s="288"/>
      <c r="AI22" s="288"/>
    </row>
    <row r="23" spans="4:36" ht="5.45" customHeight="1" x14ac:dyDescent="0.25">
      <c r="D23" s="18">
        <v>5.25</v>
      </c>
      <c r="AB23" s="252"/>
      <c r="AC23" s="252"/>
    </row>
    <row r="24" spans="4:36" ht="15.75" customHeight="1" x14ac:dyDescent="0.25">
      <c r="D24" s="18">
        <v>15</v>
      </c>
      <c r="AB24" s="289" t="s">
        <v>501</v>
      </c>
      <c r="AC24" s="293" t="s">
        <v>502</v>
      </c>
      <c r="AE24" s="291" t="str">
        <f>IF(PRD="","Не определено",PRD)&amp;" год"</f>
        <v>2023 год</v>
      </c>
      <c r="AF24" s="291"/>
      <c r="AG24" s="291"/>
      <c r="AH24" s="291"/>
      <c r="AI24" s="291"/>
    </row>
    <row r="25" spans="4:36" ht="15.75" customHeight="1" x14ac:dyDescent="0.25">
      <c r="D25" s="18">
        <v>15</v>
      </c>
      <c r="AB25" s="289"/>
      <c r="AC25" s="293"/>
      <c r="AE25" s="289" t="s">
        <v>503</v>
      </c>
      <c r="AF25" s="289"/>
      <c r="AG25" s="289" t="s">
        <v>504</v>
      </c>
      <c r="AH25" s="293" t="s">
        <v>505</v>
      </c>
      <c r="AI25" s="289" t="s">
        <v>506</v>
      </c>
    </row>
    <row r="26" spans="4:36" ht="26.85" customHeight="1" x14ac:dyDescent="0.25">
      <c r="D26" s="18">
        <v>25.5</v>
      </c>
      <c r="AB26" s="290"/>
      <c r="AC26" s="283"/>
      <c r="AE26" s="57" t="s">
        <v>550</v>
      </c>
      <c r="AF26" s="57" t="s">
        <v>551</v>
      </c>
      <c r="AG26" s="290"/>
      <c r="AH26" s="283"/>
      <c r="AI26" s="290"/>
    </row>
    <row r="27" spans="4:36" ht="1.5" customHeight="1" x14ac:dyDescent="0.25">
      <c r="D27" s="18">
        <v>1.5</v>
      </c>
      <c r="AB27" s="60"/>
      <c r="AC27" s="62"/>
      <c r="AE27" s="60"/>
      <c r="AF27" s="60"/>
      <c r="AG27" s="60"/>
      <c r="AH27" s="62"/>
      <c r="AI27" s="60"/>
      <c r="AJ27" s="33"/>
    </row>
    <row r="28" spans="4:36" ht="26.85" customHeight="1" x14ac:dyDescent="0.25">
      <c r="D28" s="18">
        <v>25.5</v>
      </c>
      <c r="AB28" s="99" t="s">
        <v>58</v>
      </c>
      <c r="AC28" s="100" t="s">
        <v>571</v>
      </c>
      <c r="AE28" s="78"/>
      <c r="AF28" s="78"/>
      <c r="AG28" s="101">
        <f>IF(AF28&gt;0,AE28/AF28*100,IF(AE28=0,100,120))</f>
        <v>100</v>
      </c>
      <c r="AH28" s="56" t="s">
        <v>512</v>
      </c>
      <c r="AI28" s="101">
        <f>IF(AG28&lt;80,3,IF(AG28&lt;=120,2,1))</f>
        <v>2</v>
      </c>
      <c r="AJ28" s="102"/>
    </row>
    <row r="29" spans="4:36" ht="15.75" customHeight="1" x14ac:dyDescent="0.25">
      <c r="D29" s="18">
        <v>15</v>
      </c>
      <c r="AB29" s="68" t="s">
        <v>492</v>
      </c>
      <c r="AC29" s="92" t="s">
        <v>572</v>
      </c>
      <c r="AE29" s="69"/>
      <c r="AF29" s="69"/>
      <c r="AG29" s="71"/>
      <c r="AH29" s="70"/>
      <c r="AI29" s="80">
        <f>(AI31+AI32+AI33+AI34+AI35+AI36)/6</f>
        <v>2</v>
      </c>
      <c r="AJ29" s="102"/>
    </row>
    <row r="30" spans="4:36" ht="15.75" customHeight="1" x14ac:dyDescent="0.25">
      <c r="D30" s="18">
        <v>15</v>
      </c>
      <c r="AB30" s="68"/>
      <c r="AC30" s="92" t="s">
        <v>510</v>
      </c>
      <c r="AE30" s="69"/>
      <c r="AF30" s="69"/>
      <c r="AG30" s="71"/>
      <c r="AH30" s="70"/>
      <c r="AI30" s="69"/>
      <c r="AJ30" s="102"/>
    </row>
    <row r="31" spans="4:36" ht="26.85" customHeight="1" x14ac:dyDescent="0.25">
      <c r="D31" s="18">
        <v>25.5</v>
      </c>
      <c r="AB31" s="55" t="s">
        <v>525</v>
      </c>
      <c r="AC31" s="83" t="s">
        <v>573</v>
      </c>
      <c r="AE31" s="73"/>
      <c r="AF31" s="73"/>
      <c r="AG31" s="74">
        <f t="shared" ref="AG31:AG36" si="0">IF(AF31&gt;0,AE31/AF31*100,IF(AE31=0,100,120))</f>
        <v>100</v>
      </c>
      <c r="AH31" s="70" t="s">
        <v>534</v>
      </c>
      <c r="AI31" s="74">
        <f>IF(AG31&gt;120,3,IF(AG31&gt;=80,2,1))</f>
        <v>2</v>
      </c>
      <c r="AJ31" s="102"/>
    </row>
    <row r="32" spans="4:36" ht="36.950000000000003" customHeight="1" x14ac:dyDescent="0.25">
      <c r="D32" s="18">
        <v>35.25</v>
      </c>
      <c r="AB32" s="55" t="s">
        <v>527</v>
      </c>
      <c r="AC32" s="83" t="s">
        <v>574</v>
      </c>
      <c r="AE32" s="73"/>
      <c r="AF32" s="73"/>
      <c r="AG32" s="74">
        <f t="shared" si="0"/>
        <v>100</v>
      </c>
      <c r="AH32" s="70" t="s">
        <v>512</v>
      </c>
      <c r="AI32" s="74">
        <f>IF(AG32&lt;80,3,IF(AG32&lt;=120,2,1))</f>
        <v>2</v>
      </c>
      <c r="AJ32" s="102"/>
    </row>
    <row r="33" spans="4:36" ht="36.950000000000003" customHeight="1" x14ac:dyDescent="0.25">
      <c r="D33" s="18">
        <v>35.25</v>
      </c>
      <c r="AB33" s="55" t="s">
        <v>529</v>
      </c>
      <c r="AC33" s="83" t="s">
        <v>575</v>
      </c>
      <c r="AE33" s="73"/>
      <c r="AF33" s="73"/>
      <c r="AG33" s="74">
        <f t="shared" si="0"/>
        <v>100</v>
      </c>
      <c r="AH33" s="70" t="s">
        <v>534</v>
      </c>
      <c r="AI33" s="74">
        <f>IF(AG33&gt;120,3,IF(AG33&gt;=80,2,1))</f>
        <v>2</v>
      </c>
      <c r="AJ33" s="102"/>
    </row>
    <row r="34" spans="4:36" ht="36.950000000000003" customHeight="1" x14ac:dyDescent="0.25">
      <c r="D34" s="18">
        <v>35.25</v>
      </c>
      <c r="AB34" s="55" t="s">
        <v>576</v>
      </c>
      <c r="AC34" s="83" t="s">
        <v>577</v>
      </c>
      <c r="AE34" s="73"/>
      <c r="AF34" s="73"/>
      <c r="AG34" s="74">
        <f t="shared" si="0"/>
        <v>100</v>
      </c>
      <c r="AH34" s="70" t="s">
        <v>534</v>
      </c>
      <c r="AI34" s="74">
        <f>IF(AG34&gt;120,3,IF(AG34&gt;=80,2,1))</f>
        <v>2</v>
      </c>
      <c r="AJ34" s="102"/>
    </row>
    <row r="35" spans="4:36" ht="26.85" customHeight="1" x14ac:dyDescent="0.25">
      <c r="D35" s="18">
        <v>25.5</v>
      </c>
      <c r="AB35" s="55" t="s">
        <v>578</v>
      </c>
      <c r="AC35" s="83" t="s">
        <v>579</v>
      </c>
      <c r="AE35" s="73"/>
      <c r="AF35" s="73"/>
      <c r="AG35" s="74">
        <f t="shared" si="0"/>
        <v>100</v>
      </c>
      <c r="AH35" s="70" t="s">
        <v>512</v>
      </c>
      <c r="AI35" s="74">
        <f>IF(AG35&lt;80,3,IF(AG35&lt;=120,2,1))</f>
        <v>2</v>
      </c>
      <c r="AJ35" s="102"/>
    </row>
    <row r="36" spans="4:36" ht="26.85" customHeight="1" x14ac:dyDescent="0.25">
      <c r="D36" s="18">
        <v>25.5</v>
      </c>
      <c r="AB36" s="55" t="s">
        <v>580</v>
      </c>
      <c r="AC36" s="83" t="s">
        <v>581</v>
      </c>
      <c r="AE36" s="93"/>
      <c r="AF36" s="93"/>
      <c r="AG36" s="74">
        <f t="shared" si="0"/>
        <v>100</v>
      </c>
      <c r="AH36" s="70" t="s">
        <v>512</v>
      </c>
      <c r="AI36" s="74">
        <f>IF(AG36&lt;80,3,IF(AG36&lt;=120,2,1))</f>
        <v>2</v>
      </c>
      <c r="AJ36" s="102"/>
    </row>
    <row r="37" spans="4:36" ht="15.75" customHeight="1" x14ac:dyDescent="0.25">
      <c r="D37" s="18">
        <v>15</v>
      </c>
      <c r="AB37" s="68" t="s">
        <v>88</v>
      </c>
      <c r="AC37" s="92" t="s">
        <v>582</v>
      </c>
      <c r="AE37" s="69"/>
      <c r="AF37" s="69"/>
      <c r="AG37" s="71"/>
      <c r="AH37" s="70"/>
      <c r="AI37" s="80">
        <f>(AI39+AI40)/2</f>
        <v>2</v>
      </c>
      <c r="AJ37" s="102"/>
    </row>
    <row r="38" spans="4:36" ht="15.75" customHeight="1" x14ac:dyDescent="0.25">
      <c r="D38" s="18">
        <v>15</v>
      </c>
      <c r="AB38" s="68"/>
      <c r="AC38" s="92" t="s">
        <v>510</v>
      </c>
      <c r="AE38" s="69"/>
      <c r="AF38" s="69"/>
      <c r="AG38" s="71"/>
      <c r="AH38" s="70"/>
      <c r="AI38" s="69"/>
      <c r="AJ38" s="102"/>
    </row>
    <row r="39" spans="4:36" ht="15.75" customHeight="1" x14ac:dyDescent="0.25">
      <c r="D39" s="18">
        <v>15</v>
      </c>
      <c r="AB39" s="55" t="s">
        <v>562</v>
      </c>
      <c r="AC39" s="83" t="s">
        <v>583</v>
      </c>
      <c r="AE39" s="93"/>
      <c r="AF39" s="93"/>
      <c r="AG39" s="74">
        <f>IF(AF39&gt;0,AE39/AF39*100,IF(AE39=0,100,120))</f>
        <v>100</v>
      </c>
      <c r="AH39" s="70" t="s">
        <v>534</v>
      </c>
      <c r="AI39" s="74">
        <f>IF(AG39&gt;120,3,IF(AG39&gt;=80,2,1))</f>
        <v>2</v>
      </c>
      <c r="AJ39" s="102"/>
    </row>
    <row r="40" spans="4:36" ht="26.85" customHeight="1" x14ac:dyDescent="0.25">
      <c r="D40" s="18">
        <v>25.5</v>
      </c>
      <c r="AB40" s="55" t="s">
        <v>564</v>
      </c>
      <c r="AC40" s="83" t="s">
        <v>584</v>
      </c>
      <c r="AE40" s="69"/>
      <c r="AF40" s="69"/>
      <c r="AG40" s="71"/>
      <c r="AH40" s="70"/>
      <c r="AI40" s="80">
        <f>(AI41+AI42+AI43)/3</f>
        <v>2</v>
      </c>
      <c r="AJ40" s="102"/>
    </row>
    <row r="41" spans="4:36" ht="15.75" customHeight="1" x14ac:dyDescent="0.25">
      <c r="D41" s="18">
        <v>15</v>
      </c>
      <c r="AB41" s="55" t="s">
        <v>585</v>
      </c>
      <c r="AC41" s="83" t="s">
        <v>586</v>
      </c>
      <c r="AE41" s="103"/>
      <c r="AF41" s="103"/>
      <c r="AG41" s="74">
        <f>IF(AF41&gt;0,AE41/AF41*100,IF(AE41=0,100,120))</f>
        <v>100</v>
      </c>
      <c r="AH41" s="70" t="s">
        <v>512</v>
      </c>
      <c r="AI41" s="74">
        <f>IF(AG41&lt;80,3,IF(AG41&lt;=120,2,1))</f>
        <v>2</v>
      </c>
      <c r="AJ41" s="102"/>
    </row>
    <row r="42" spans="4:36" ht="15.75" customHeight="1" x14ac:dyDescent="0.25">
      <c r="D42" s="18">
        <v>15</v>
      </c>
      <c r="AB42" s="55" t="s">
        <v>587</v>
      </c>
      <c r="AC42" s="83" t="s">
        <v>588</v>
      </c>
      <c r="AE42" s="103"/>
      <c r="AF42" s="103"/>
      <c r="AG42" s="74">
        <f>IF(AF42&gt;0,AE42/AF42*100,IF(AE42=0,100,120))</f>
        <v>100</v>
      </c>
      <c r="AH42" s="70" t="s">
        <v>512</v>
      </c>
      <c r="AI42" s="74">
        <f>IF(AG42&lt;80,3,IF(AG42&lt;=120,2,1))</f>
        <v>2</v>
      </c>
      <c r="AJ42" s="102"/>
    </row>
    <row r="43" spans="4:36" ht="15.75" customHeight="1" x14ac:dyDescent="0.25">
      <c r="D43" s="18">
        <v>15</v>
      </c>
      <c r="AB43" s="55" t="s">
        <v>589</v>
      </c>
      <c r="AC43" s="83" t="s">
        <v>590</v>
      </c>
      <c r="AE43" s="103"/>
      <c r="AF43" s="103"/>
      <c r="AG43" s="74">
        <f>IF(AF43&gt;0,AE43/AF43*100,IF(AE43=0,100,120))</f>
        <v>100</v>
      </c>
      <c r="AH43" s="70" t="s">
        <v>512</v>
      </c>
      <c r="AI43" s="74">
        <f>IF(AG43&lt;80,3,IF(AG43&lt;=120,2,1))</f>
        <v>2</v>
      </c>
      <c r="AJ43" s="102"/>
    </row>
    <row r="44" spans="4:36" ht="15.75" customHeight="1" x14ac:dyDescent="0.25">
      <c r="D44" s="18">
        <v>15</v>
      </c>
      <c r="AB44" s="68" t="s">
        <v>95</v>
      </c>
      <c r="AC44" s="95" t="s">
        <v>591</v>
      </c>
      <c r="AE44" s="104"/>
      <c r="AF44" s="104"/>
      <c r="AG44" s="74">
        <f>AG45</f>
        <v>100</v>
      </c>
      <c r="AH44" s="70" t="s">
        <v>534</v>
      </c>
      <c r="AI44" s="74">
        <f>AI45</f>
        <v>2</v>
      </c>
      <c r="AJ44" s="102"/>
    </row>
    <row r="45" spans="4:36" ht="26.85" customHeight="1" x14ac:dyDescent="0.25">
      <c r="D45" s="18">
        <v>25.5</v>
      </c>
      <c r="AB45" s="55" t="s">
        <v>567</v>
      </c>
      <c r="AC45" s="83" t="s">
        <v>592</v>
      </c>
      <c r="AE45" s="103"/>
      <c r="AF45" s="103"/>
      <c r="AG45" s="74">
        <f>IF(AF45&gt;0,AE45/AF45*100,IF(AE45=0,100,120))</f>
        <v>100</v>
      </c>
      <c r="AH45" s="70" t="s">
        <v>534</v>
      </c>
      <c r="AI45" s="74">
        <f>IF(AG45&gt;120,3,IF(AG45&gt;=80,2,1))</f>
        <v>2</v>
      </c>
      <c r="AJ45" s="102"/>
    </row>
    <row r="46" spans="4:36" ht="26.85" customHeight="1" x14ac:dyDescent="0.25">
      <c r="D46" s="18">
        <v>25.5</v>
      </c>
      <c r="AB46" s="68" t="s">
        <v>103</v>
      </c>
      <c r="AC46" s="92" t="s">
        <v>593</v>
      </c>
      <c r="AE46" s="105"/>
      <c r="AF46" s="105"/>
      <c r="AG46" s="71"/>
      <c r="AH46" s="70"/>
      <c r="AI46" s="80">
        <f>(AI48+AI49)/2</f>
        <v>2</v>
      </c>
      <c r="AJ46" s="102"/>
    </row>
    <row r="47" spans="4:36" ht="15.75" customHeight="1" x14ac:dyDescent="0.25">
      <c r="D47" s="18">
        <v>15</v>
      </c>
      <c r="AB47" s="55"/>
      <c r="AC47" s="106" t="s">
        <v>510</v>
      </c>
      <c r="AE47" s="105"/>
      <c r="AF47" s="105"/>
      <c r="AG47" s="71"/>
      <c r="AH47" s="70"/>
      <c r="AI47" s="69"/>
      <c r="AJ47" s="102"/>
    </row>
    <row r="48" spans="4:36" ht="26.85" customHeight="1" x14ac:dyDescent="0.25">
      <c r="D48" s="18">
        <v>25.5</v>
      </c>
      <c r="AB48" s="55" t="s">
        <v>535</v>
      </c>
      <c r="AC48" s="83" t="s">
        <v>594</v>
      </c>
      <c r="AE48" s="103"/>
      <c r="AF48" s="103"/>
      <c r="AG48" s="74">
        <f>IF(AF48&gt;0,AE48/AF48*100,IF(AE48=0,100,120))</f>
        <v>100</v>
      </c>
      <c r="AH48" s="70" t="s">
        <v>534</v>
      </c>
      <c r="AI48" s="74">
        <f>IF(AG48&gt;120,3,IF(AG48&gt;=80,2,1))</f>
        <v>2</v>
      </c>
      <c r="AJ48" s="102"/>
    </row>
    <row r="49" spans="4:37" ht="47.25" customHeight="1" x14ac:dyDescent="0.25">
      <c r="D49" s="18">
        <v>45</v>
      </c>
      <c r="AB49" s="55" t="s">
        <v>595</v>
      </c>
      <c r="AC49" s="83" t="s">
        <v>596</v>
      </c>
      <c r="AE49" s="73"/>
      <c r="AF49" s="73"/>
      <c r="AG49" s="74">
        <f>IF(AF49&gt;0,AE49/AF49*100,IF(AE49=0,100,120))</f>
        <v>100</v>
      </c>
      <c r="AH49" s="70" t="s">
        <v>512</v>
      </c>
      <c r="AI49" s="74">
        <f>IF(AG49&lt;80,3,IF(AG49&lt;=120,2,1))</f>
        <v>2</v>
      </c>
      <c r="AJ49" s="102"/>
    </row>
    <row r="50" spans="4:37" ht="15.75" customHeight="1" x14ac:dyDescent="0.25">
      <c r="D50" s="18">
        <v>15</v>
      </c>
      <c r="AB50" s="68" t="s">
        <v>537</v>
      </c>
      <c r="AC50" s="92" t="s">
        <v>597</v>
      </c>
      <c r="AE50" s="69"/>
      <c r="AF50" s="69"/>
      <c r="AG50" s="69"/>
      <c r="AH50" s="70"/>
      <c r="AI50" s="80">
        <f>(AI28+AI29+AI37+AI44+AI46)/5</f>
        <v>2</v>
      </c>
      <c r="AJ50" s="102"/>
    </row>
    <row r="51" spans="4:37" ht="5.45" customHeight="1" x14ac:dyDescent="0.25">
      <c r="D51" s="18">
        <v>5.25</v>
      </c>
    </row>
    <row r="52" spans="4:37" ht="11.85" customHeight="1" x14ac:dyDescent="0.25">
      <c r="D52" s="18">
        <v>11.25</v>
      </c>
      <c r="AB52" s="107" t="s">
        <v>598</v>
      </c>
    </row>
    <row r="53" spans="4:37" ht="31.5" customHeight="1" x14ac:dyDescent="0.25">
      <c r="D53" s="18">
        <v>30</v>
      </c>
      <c r="AB53" s="84"/>
      <c r="AC53" s="16" t="str">
        <f>IF(LEN(ruk_dol)=0,"",ruk_dol)</f>
        <v>Генеральный директор</v>
      </c>
      <c r="AD53" s="277"/>
      <c r="AE53" s="277"/>
      <c r="AF53" s="277"/>
      <c r="AG53" s="278"/>
      <c r="AH53" s="278"/>
      <c r="AI53" s="278"/>
    </row>
    <row r="54" spans="4:37" ht="15.75" customHeight="1" x14ac:dyDescent="0.25">
      <c r="D54" s="18">
        <v>15</v>
      </c>
      <c r="AC54" s="86" t="s">
        <v>445</v>
      </c>
      <c r="AD54" s="252"/>
      <c r="AE54" s="252"/>
      <c r="AF54" s="252"/>
      <c r="AG54" s="279" t="s">
        <v>546</v>
      </c>
      <c r="AH54" s="252"/>
      <c r="AI54" s="252"/>
    </row>
    <row r="55" spans="4:37" ht="11.85" customHeight="1" x14ac:dyDescent="0.25">
      <c r="D55" s="18">
        <v>11.25</v>
      </c>
      <c r="AB55" s="29"/>
      <c r="AC55" s="16"/>
      <c r="AI55" s="97"/>
      <c r="AJ55" s="97"/>
    </row>
    <row r="56" spans="4:37" ht="11.25" hidden="1" customHeight="1" x14ac:dyDescent="0.25">
      <c r="D56" s="18">
        <v>0</v>
      </c>
      <c r="AB56" s="297"/>
      <c r="AC56" s="297"/>
      <c r="AE56" s="297"/>
      <c r="AF56" s="297"/>
      <c r="AG56" s="297"/>
      <c r="AH56" s="297"/>
      <c r="AI56" s="297"/>
      <c r="AJ56" s="108"/>
    </row>
    <row r="57" spans="4:37" ht="11.25" hidden="1" customHeight="1" x14ac:dyDescent="0.25">
      <c r="D57" s="18">
        <v>0</v>
      </c>
      <c r="AB57" s="109"/>
      <c r="AC57" s="16"/>
      <c r="AI57" s="97"/>
      <c r="AJ57" s="97"/>
    </row>
    <row r="58" spans="4:37" ht="11.25" hidden="1" customHeight="1" x14ac:dyDescent="0.25">
      <c r="D58" s="18">
        <v>0</v>
      </c>
      <c r="AB58" s="297"/>
      <c r="AC58" s="297"/>
      <c r="AE58" s="252"/>
      <c r="AF58" s="252"/>
      <c r="AG58" s="252"/>
      <c r="AH58" s="252"/>
      <c r="AI58" s="252"/>
    </row>
    <row r="59" spans="4:37" ht="11.25" hidden="1" customHeight="1" x14ac:dyDescent="0.25">
      <c r="D59" s="18">
        <v>0</v>
      </c>
      <c r="AB59" s="109"/>
      <c r="AC59" s="16"/>
    </row>
    <row r="60" spans="4:37" ht="11.25" hidden="1" customHeight="1" x14ac:dyDescent="0.25">
      <c r="D60" s="18">
        <v>0</v>
      </c>
      <c r="AB60" s="297"/>
      <c r="AC60" s="297"/>
    </row>
    <row r="61" spans="4:37" ht="11.25" hidden="1" customHeight="1" x14ac:dyDescent="0.25">
      <c r="D61" s="19">
        <v>0</v>
      </c>
      <c r="AK61" t="s">
        <v>457</v>
      </c>
    </row>
  </sheetData>
  <sheetProtection formatColumns="0" formatRows="0" insertRows="0" deleteColumns="0" deleteRows="0" sort="0" autoFilter="0"/>
  <mergeCells count="19">
    <mergeCell ref="AG25:AG26"/>
    <mergeCell ref="AH25:AH26"/>
    <mergeCell ref="AI25:AI26"/>
    <mergeCell ref="AB21:AD21"/>
    <mergeCell ref="AB58:AC58"/>
    <mergeCell ref="AE58:AI58"/>
    <mergeCell ref="AB22:AI22"/>
    <mergeCell ref="AB23:AC23"/>
    <mergeCell ref="AB24:AB26"/>
    <mergeCell ref="AC24:AC26"/>
    <mergeCell ref="AE24:AI24"/>
    <mergeCell ref="AE25:AF25"/>
    <mergeCell ref="AB60:AC60"/>
    <mergeCell ref="AD53:AF53"/>
    <mergeCell ref="AG53:AI53"/>
    <mergeCell ref="AD54:AF54"/>
    <mergeCell ref="AG54:AI54"/>
    <mergeCell ref="AB56:AC56"/>
    <mergeCell ref="AE56:AI56"/>
  </mergeCells>
  <dataValidations count="2">
    <dataValidation type="list" allowBlank="1" showInputMessage="1" showErrorMessage="1" sqref="AE28:AF28" xr:uid="{00000000-0002-0000-0B00-000000000000}">
      <formula1>"0,1"</formula1>
    </dataValidation>
    <dataValidation type="decimal" allowBlank="1" showErrorMessage="1" errorTitle="Ошибка" error="Допускается ввод только неотрицательных чисел!" sqref="AE48:AF49 AE31:AF36 AE39:AF39 AE45 AE41:AE43 AF41:AF43 AF45" xr:uid="{00000000-0002-0000-0B00-000001000000}">
      <formula1>0</formula1>
      <formula2>9.99999999999999E+23</formula2>
    </dataValidation>
  </dataValidations>
  <pageMargins left="0.75" right="0.75" top="0.98" bottom="0.98" header="0.51" footer="0.51"/>
  <pageSetup paperSize="9" scale="3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E536-6AE6-BE38-2A37-35ED24852193}">
  <sheetPr>
    <tabColor theme="3" tint="0.79998168889431442"/>
    <pageSetUpPr fitToPage="1"/>
  </sheetPr>
  <dimension ref="A1:AG34"/>
  <sheetViews>
    <sheetView showGridLines="0" tabSelected="1" view="pageBreakPreview" zoomScale="90" zoomScaleNormal="100" zoomScaleSheetLayoutView="90" workbookViewId="0">
      <pane xSplit="29" ySplit="25" topLeftCell="AD26" activePane="bottomRight" state="frozen"/>
      <selection pane="topRight" activeCell="AD1" sqref="AD1"/>
      <selection pane="bottomLeft" activeCell="A26" sqref="A26"/>
      <selection pane="bottomRight" activeCell="AL32" sqref="AL32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5.85546875" customWidth="1"/>
    <col min="29" max="29" width="78" customWidth="1"/>
    <col min="30" max="30" width="14.28515625" customWidth="1"/>
    <col min="31" max="31" width="0.140625" customWidth="1"/>
    <col min="32" max="32" width="8.85546875" customWidth="1"/>
    <col min="33" max="33" width="18.42578125" customWidth="1"/>
  </cols>
  <sheetData>
    <row r="1" spans="4:33" ht="11.25" hidden="1" customHeight="1" x14ac:dyDescent="0.25"/>
    <row r="2" spans="4:33" ht="17.25" hidden="1" customHeight="1" x14ac:dyDescent="0.25">
      <c r="AE2" s="40" t="b">
        <f>REPORT_OWNER="Версия регулятора"</f>
        <v>0</v>
      </c>
    </row>
    <row r="3" spans="4:33" ht="10.5" hidden="1" customHeight="1" x14ac:dyDescent="0.25"/>
    <row r="4" spans="4:33" ht="10.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5.86</v>
      </c>
      <c r="AC4" s="18">
        <v>60</v>
      </c>
      <c r="AD4" s="18">
        <v>12.86</v>
      </c>
      <c r="AE4" s="18">
        <v>15.14</v>
      </c>
      <c r="AF4" s="18">
        <v>18.86</v>
      </c>
      <c r="AG4" s="19">
        <v>0</v>
      </c>
    </row>
    <row r="5" spans="4:33" ht="10.5" hidden="1" customHeight="1" x14ac:dyDescent="0.25">
      <c r="D5" s="18">
        <v>25</v>
      </c>
    </row>
    <row r="6" spans="4:33" ht="10.5" hidden="1" customHeight="1" x14ac:dyDescent="0.25">
      <c r="D6" s="18">
        <v>25</v>
      </c>
    </row>
    <row r="7" spans="4:33" ht="10.5" hidden="1" customHeight="1" x14ac:dyDescent="0.25">
      <c r="D7" s="18">
        <v>25</v>
      </c>
    </row>
    <row r="8" spans="4:33" ht="10.5" hidden="1" customHeight="1" x14ac:dyDescent="0.25">
      <c r="D8" s="18">
        <v>25</v>
      </c>
    </row>
    <row r="9" spans="4:33" ht="10.5" hidden="1" customHeight="1" x14ac:dyDescent="0.25">
      <c r="D9" s="18">
        <v>25</v>
      </c>
    </row>
    <row r="10" spans="4:33" ht="10.5" hidden="1" customHeight="1" x14ac:dyDescent="0.25">
      <c r="D10" s="18">
        <v>25</v>
      </c>
    </row>
    <row r="11" spans="4:33" ht="10.5" hidden="1" customHeight="1" x14ac:dyDescent="0.25">
      <c r="D11" s="18">
        <v>25</v>
      </c>
    </row>
    <row r="12" spans="4:33" ht="10.5" hidden="1" customHeight="1" x14ac:dyDescent="0.25">
      <c r="D12" s="18">
        <v>25</v>
      </c>
    </row>
    <row r="13" spans="4:33" ht="10.5" hidden="1" customHeight="1" x14ac:dyDescent="0.25">
      <c r="D13" s="18">
        <v>25</v>
      </c>
    </row>
    <row r="14" spans="4:33" ht="10.5" hidden="1" customHeight="1" x14ac:dyDescent="0.25">
      <c r="D14" s="18">
        <v>25</v>
      </c>
    </row>
    <row r="15" spans="4:33" ht="10.5" hidden="1" customHeight="1" x14ac:dyDescent="0.25">
      <c r="D15" s="18">
        <v>25</v>
      </c>
    </row>
    <row r="16" spans="4:33" ht="10.5" hidden="1" customHeight="1" x14ac:dyDescent="0.25">
      <c r="D16" s="18">
        <v>25</v>
      </c>
    </row>
    <row r="17" spans="4:32" ht="10.5" hidden="1" customHeight="1" x14ac:dyDescent="0.25">
      <c r="D17" s="18">
        <v>25</v>
      </c>
    </row>
    <row r="18" spans="4:32" ht="10.5" hidden="1" customHeight="1" x14ac:dyDescent="0.25">
      <c r="D18" s="18">
        <v>25</v>
      </c>
    </row>
    <row r="19" spans="4:32" ht="10.5" hidden="1" customHeight="1" x14ac:dyDescent="0.25">
      <c r="D19" s="18">
        <v>25</v>
      </c>
    </row>
    <row r="20" spans="4:32" ht="15.75" customHeight="1" x14ac:dyDescent="0.25">
      <c r="D20" s="18">
        <v>15</v>
      </c>
    </row>
    <row r="21" spans="4:32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2" ht="51.75" customHeight="1" x14ac:dyDescent="0.25">
      <c r="D22" s="18">
        <v>49.25</v>
      </c>
      <c r="AB22" s="269" t="s">
        <v>599</v>
      </c>
      <c r="AC22" s="269"/>
      <c r="AD22" s="269"/>
    </row>
    <row r="23" spans="4:32" ht="5.45" customHeight="1" x14ac:dyDescent="0.25">
      <c r="D23" s="18">
        <v>5.25</v>
      </c>
    </row>
    <row r="24" spans="4:32" ht="25.9" customHeight="1" x14ac:dyDescent="0.25">
      <c r="D24" s="18">
        <v>24.75</v>
      </c>
      <c r="AB24" s="55" t="s">
        <v>487</v>
      </c>
      <c r="AC24" s="70" t="s">
        <v>600</v>
      </c>
      <c r="AD24" s="70" t="str">
        <f>IF(PRD="","Не определено",PRD)&amp;" год Факт"</f>
        <v>2023 год Факт</v>
      </c>
      <c r="AE24" s="110" t="str">
        <f>IF(PRD="","Не определено",PRD)&amp;" год Факт"</f>
        <v>2023 год Факт</v>
      </c>
    </row>
    <row r="25" spans="4:32" ht="1.5" customHeight="1" x14ac:dyDescent="0.25">
      <c r="D25" s="18">
        <v>1.5</v>
      </c>
    </row>
    <row r="26" spans="4:32" ht="26.85" customHeight="1" x14ac:dyDescent="0.25">
      <c r="D26" s="18">
        <v>25.5</v>
      </c>
      <c r="AB26" s="55" t="s">
        <v>58</v>
      </c>
      <c r="AC26" s="83" t="s">
        <v>601</v>
      </c>
      <c r="AD26" s="74">
        <f>MAX('ф.8.1.1 Ведомость_свод'!AD27:AD38)</f>
        <v>54206</v>
      </c>
      <c r="AE26" s="74">
        <f>MAX('ф.8.1.1 Ведомость_свод'!AM27:AM38)</f>
        <v>54206</v>
      </c>
    </row>
    <row r="27" spans="4:32" ht="24.4" customHeight="1" x14ac:dyDescent="0.25">
      <c r="D27" s="18">
        <v>23.25</v>
      </c>
      <c r="AB27" s="55" t="s">
        <v>492</v>
      </c>
      <c r="AC27" s="83" t="s">
        <v>602</v>
      </c>
      <c r="AD27" s="111" cm="1">
        <f t="array" ref="AD27">IF(AD26=0,0,SUMPRODUCT('ф.8.1 Журнал учета'!$AJ$29:$AJ$89,'ф.8.1 Журнал учета'!$AN$29:$AN$89,--ISNUMBER(SEARCH("В",'ф.8.1 Журнал учета'!$AI$29:$AI$89)),--ISNUMBER(SEARCH(1,'ф.8.1 Журнал учета'!$BB$29:$BB$89)))/AD26)</f>
        <v>0.21620115854333469</v>
      </c>
      <c r="AE27" s="111" cm="1">
        <f t="array" ref="AE27">IF(AE26=0,0,SUMPRODUCT('ф.8.1 Журнал учета'!$BT$29:$BT$89,'ф.8.1 Журнал учета'!$BU$29:$BU$89,--ISNUMBER(SEARCH("В",'ф.8.1 Журнал учета'!$BS$29:$BS$89)),--ISNUMBER(SEARCH(1,'ф.8.1 Журнал учета'!$CD$29:$CD$89)))/AE26)</f>
        <v>0.21620115854333469</v>
      </c>
    </row>
    <row r="28" spans="4:32" ht="28.35" customHeight="1" x14ac:dyDescent="0.25">
      <c r="D28" s="18">
        <v>27</v>
      </c>
      <c r="AB28" s="55" t="s">
        <v>88</v>
      </c>
      <c r="AC28" s="83" t="s">
        <v>603</v>
      </c>
      <c r="AD28" s="111">
        <f>IF(AD26=0,0,SUMIFS('ф.8.1 Журнал учета'!$AN$29:$AN$89,'ф.8.1 Журнал учета'!$AI$29:$AI$89,"В",'ф.8.1 Журнал учета'!$BB$29:$BB$89,"=1")/AD26)</f>
        <v>0.18108696454267056</v>
      </c>
      <c r="AE28" s="111">
        <f>IF(AE26=0,0,SUMIFS('ф.8.1 Журнал учета'!$BU$29:$BU$89,'ф.8.1 Журнал учета'!$BS$29:$BS$89,"В",'ф.8.1 Журнал учета'!$CD$29:$CD$89,"=1")/AE26)</f>
        <v>0.18108696454267056</v>
      </c>
    </row>
    <row r="29" spans="4:32" ht="11.85" customHeight="1" x14ac:dyDescent="0.25">
      <c r="D29" s="18">
        <v>11.25</v>
      </c>
      <c r="AB29" s="297"/>
      <c r="AC29" s="297"/>
      <c r="AD29" s="108"/>
    </row>
    <row r="30" spans="4:32" ht="47.25" customHeight="1" x14ac:dyDescent="0.25">
      <c r="D30" s="18">
        <v>45</v>
      </c>
      <c r="AB30" s="112"/>
      <c r="AC30" s="85" t="str">
        <f>IF(LEN(ruk_dol)=0,"",ruk_dol)</f>
        <v>Генеральный директор</v>
      </c>
      <c r="AD30" s="277" t="str">
        <f>IF(LEN(ruk_FIO)=0,"",ruk_FIO)</f>
        <v>Мурадов Сергей Юрьевич</v>
      </c>
      <c r="AE30" s="277"/>
    </row>
    <row r="31" spans="4:32" ht="21.2" customHeight="1" x14ac:dyDescent="0.25">
      <c r="D31" s="18">
        <v>20.25</v>
      </c>
      <c r="AB31" s="113"/>
      <c r="AC31" s="87" t="s">
        <v>445</v>
      </c>
      <c r="AD31" s="279" t="s">
        <v>545</v>
      </c>
      <c r="AE31" s="252"/>
      <c r="AF31" s="86" t="s">
        <v>546</v>
      </c>
    </row>
    <row r="32" spans="4:32" ht="11.85" customHeight="1" x14ac:dyDescent="0.25">
      <c r="D32" s="18">
        <v>11.25</v>
      </c>
      <c r="AB32" s="112"/>
      <c r="AC32" s="16"/>
      <c r="AD32" s="16"/>
    </row>
    <row r="33" spans="4:33" ht="11.25" hidden="1" customHeight="1" x14ac:dyDescent="0.25">
      <c r="D33" s="18">
        <v>0</v>
      </c>
      <c r="AB33" s="297"/>
      <c r="AC33" s="297"/>
      <c r="AD33" s="108"/>
    </row>
    <row r="34" spans="4:33" ht="11.25" hidden="1" customHeight="1" x14ac:dyDescent="0.25">
      <c r="D34" s="19">
        <v>0</v>
      </c>
      <c r="AG34" t="s">
        <v>457</v>
      </c>
    </row>
  </sheetData>
  <sheetProtection formatColumns="0" formatRows="0" insertRows="0" deleteColumns="0" deleteRows="0" sort="0" autoFilter="0"/>
  <mergeCells count="6">
    <mergeCell ref="AB21:AD21"/>
    <mergeCell ref="AB29:AC29"/>
    <mergeCell ref="AB33:AC33"/>
    <mergeCell ref="AB22:AD22"/>
    <mergeCell ref="AD31:AE31"/>
    <mergeCell ref="AD30:AE30"/>
  </mergeCells>
  <pageMargins left="0.7" right="0.7" top="0.75" bottom="0.75" header="0.3" footer="0.3"/>
  <pageSetup paperSize="9" scale="77" orientation="portrait" r:id="rId1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0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1428-6052-A248-FC17-96FD458C06F1}">
  <dimension ref="A1:AG44"/>
  <sheetViews>
    <sheetView showGridLines="0" workbookViewId="0">
      <pane xSplit="29" ySplit="25" topLeftCell="AD26" activePane="bottomRight" state="frozen"/>
      <selection pane="topRight" activeCell="AD1" sqref="AD1"/>
      <selection pane="bottomLeft" activeCell="A26" sqref="A26"/>
      <selection pane="bottomRight" activeCell="AA20" sqref="AA20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5.85546875" customWidth="1"/>
    <col min="29" max="29" width="62.140625" customWidth="1"/>
    <col min="30" max="30" width="13.5703125" customWidth="1"/>
    <col min="31" max="31" width="15.85546875" hidden="1" customWidth="1"/>
    <col min="32" max="32" width="18.85546875" customWidth="1"/>
    <col min="33" max="33" width="9.140625" hidden="1"/>
  </cols>
  <sheetData>
    <row r="1" spans="4:33" ht="11.25" hidden="1" customHeight="1" x14ac:dyDescent="0.25"/>
    <row r="2" spans="4:33" ht="10.5" hidden="1" customHeight="1" x14ac:dyDescent="0.25">
      <c r="AE2" s="40" t="b">
        <f>REPORT_OWNER="Версия регулятора"</f>
        <v>0</v>
      </c>
    </row>
    <row r="3" spans="4:33" ht="10.5" hidden="1" customHeight="1" x14ac:dyDescent="0.25"/>
    <row r="4" spans="4:33" ht="10.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5.86</v>
      </c>
      <c r="AC4" s="18">
        <v>62.14</v>
      </c>
      <c r="AD4" s="18">
        <v>12.86</v>
      </c>
      <c r="AE4" s="18">
        <v>15.14</v>
      </c>
      <c r="AF4" s="18">
        <v>18.86</v>
      </c>
      <c r="AG4" s="19">
        <v>0</v>
      </c>
    </row>
    <row r="5" spans="4:33" ht="10.5" hidden="1" customHeight="1" x14ac:dyDescent="0.25">
      <c r="D5" s="18">
        <v>25</v>
      </c>
    </row>
    <row r="6" spans="4:33" ht="10.5" hidden="1" customHeight="1" x14ac:dyDescent="0.25">
      <c r="D6" s="18">
        <v>25</v>
      </c>
    </row>
    <row r="7" spans="4:33" ht="10.5" hidden="1" customHeight="1" x14ac:dyDescent="0.25">
      <c r="D7" s="18">
        <v>25</v>
      </c>
    </row>
    <row r="8" spans="4:33" ht="10.5" hidden="1" customHeight="1" x14ac:dyDescent="0.25">
      <c r="D8" s="18">
        <v>25</v>
      </c>
    </row>
    <row r="9" spans="4:33" ht="10.5" hidden="1" customHeight="1" x14ac:dyDescent="0.25">
      <c r="D9" s="18">
        <v>25</v>
      </c>
    </row>
    <row r="10" spans="4:33" ht="10.5" hidden="1" customHeight="1" x14ac:dyDescent="0.25">
      <c r="D10" s="18">
        <v>25</v>
      </c>
    </row>
    <row r="11" spans="4:33" ht="10.5" hidden="1" customHeight="1" x14ac:dyDescent="0.25">
      <c r="D11" s="18">
        <v>25</v>
      </c>
    </row>
    <row r="12" spans="4:33" ht="10.5" hidden="1" customHeight="1" x14ac:dyDescent="0.25">
      <c r="D12" s="18">
        <v>25</v>
      </c>
    </row>
    <row r="13" spans="4:33" ht="10.5" hidden="1" customHeight="1" x14ac:dyDescent="0.25">
      <c r="D13" s="18">
        <v>25</v>
      </c>
    </row>
    <row r="14" spans="4:33" ht="10.5" hidden="1" customHeight="1" x14ac:dyDescent="0.25">
      <c r="D14" s="18">
        <v>25</v>
      </c>
    </row>
    <row r="15" spans="4:33" ht="10.5" hidden="1" customHeight="1" x14ac:dyDescent="0.25">
      <c r="D15" s="18">
        <v>25</v>
      </c>
    </row>
    <row r="16" spans="4:33" ht="10.5" hidden="1" customHeight="1" x14ac:dyDescent="0.25">
      <c r="D16" s="18">
        <v>25</v>
      </c>
    </row>
    <row r="17" spans="4:31" ht="10.5" hidden="1" customHeight="1" x14ac:dyDescent="0.25">
      <c r="D17" s="18">
        <v>25</v>
      </c>
    </row>
    <row r="18" spans="4:31" ht="10.5" hidden="1" customHeight="1" x14ac:dyDescent="0.25">
      <c r="D18" s="18">
        <v>25</v>
      </c>
    </row>
    <row r="19" spans="4:31" ht="10.5" hidden="1" customHeight="1" x14ac:dyDescent="0.25">
      <c r="D19" s="18">
        <v>25</v>
      </c>
    </row>
    <row r="20" spans="4:31" ht="15.75" customHeight="1" x14ac:dyDescent="0.25">
      <c r="D20" s="18">
        <v>15</v>
      </c>
    </row>
    <row r="21" spans="4:31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1" ht="51.75" customHeight="1" x14ac:dyDescent="0.25">
      <c r="D22" s="18">
        <v>49.25</v>
      </c>
      <c r="AB22" s="269" t="s">
        <v>604</v>
      </c>
      <c r="AC22" s="269"/>
      <c r="AD22" s="269"/>
    </row>
    <row r="23" spans="4:31" ht="5.45" customHeight="1" x14ac:dyDescent="0.25">
      <c r="D23" s="18">
        <v>5.25</v>
      </c>
    </row>
    <row r="24" spans="4:31" ht="25.9" customHeight="1" x14ac:dyDescent="0.25">
      <c r="D24" s="18">
        <v>24.75</v>
      </c>
      <c r="AB24" s="55" t="s">
        <v>487</v>
      </c>
      <c r="AC24" s="70" t="s">
        <v>600</v>
      </c>
      <c r="AD24" s="70" t="str">
        <f>IF(PRD="","Не определено",PRD)&amp;" год Факт"</f>
        <v>2023 год Факт</v>
      </c>
      <c r="AE24" s="110" t="str">
        <f>IF(PRD="","Не определено",PRD)&amp;" год Факт"</f>
        <v>2023 год Факт</v>
      </c>
    </row>
    <row r="25" spans="4:31" ht="1.5" customHeight="1" x14ac:dyDescent="0.25">
      <c r="D25" s="18">
        <v>1.5</v>
      </c>
    </row>
    <row r="26" spans="4:31" ht="26.85" customHeight="1" x14ac:dyDescent="0.25">
      <c r="D26" s="18">
        <v>25.5</v>
      </c>
      <c r="AB26" s="55" t="s">
        <v>58</v>
      </c>
      <c r="AC26" s="83" t="s">
        <v>605</v>
      </c>
      <c r="AD26" s="74">
        <f>AD27+AD28+AD29+AD30</f>
        <v>0</v>
      </c>
      <c r="AE26" s="74">
        <f>AE27+AE28+AE29+AE30</f>
        <v>0</v>
      </c>
    </row>
    <row r="27" spans="4:31" ht="26.85" customHeight="1" x14ac:dyDescent="0.25">
      <c r="D27" s="18">
        <v>25.5</v>
      </c>
      <c r="AB27" s="55" t="s">
        <v>149</v>
      </c>
      <c r="AC27" s="83" t="s">
        <v>606</v>
      </c>
      <c r="AD27" s="114"/>
      <c r="AE27" s="195">
        <f>AD27</f>
        <v>0</v>
      </c>
    </row>
    <row r="28" spans="4:31" ht="26.85" customHeight="1" x14ac:dyDescent="0.25">
      <c r="D28" s="18">
        <v>25.5</v>
      </c>
      <c r="AB28" s="55" t="s">
        <v>513</v>
      </c>
      <c r="AC28" s="83" t="s">
        <v>607</v>
      </c>
      <c r="AD28" s="114"/>
      <c r="AE28" s="195">
        <f>AD28</f>
        <v>0</v>
      </c>
    </row>
    <row r="29" spans="4:31" ht="26.85" customHeight="1" x14ac:dyDescent="0.25">
      <c r="D29" s="18">
        <v>25.5</v>
      </c>
      <c r="AB29" s="55" t="s">
        <v>557</v>
      </c>
      <c r="AC29" s="83" t="s">
        <v>608</v>
      </c>
      <c r="AD29" s="114"/>
      <c r="AE29" s="195">
        <f>AD29</f>
        <v>0</v>
      </c>
    </row>
    <row r="30" spans="4:31" ht="26.85" customHeight="1" x14ac:dyDescent="0.25">
      <c r="D30" s="18">
        <v>25.5</v>
      </c>
      <c r="AB30" s="55" t="s">
        <v>609</v>
      </c>
      <c r="AC30" s="83" t="s">
        <v>610</v>
      </c>
      <c r="AD30" s="114"/>
      <c r="AE30" s="195">
        <f>AD30</f>
        <v>0</v>
      </c>
    </row>
    <row r="31" spans="4:31" ht="24.4" customHeight="1" x14ac:dyDescent="0.25">
      <c r="D31" s="18">
        <v>23.25</v>
      </c>
      <c r="AB31" s="55" t="s">
        <v>492</v>
      </c>
      <c r="AC31" s="83" t="s">
        <v>611</v>
      </c>
      <c r="AD31" s="115" t="str">
        <f>IF(AD27=0,"-",ROUND(SUMPRODUCT('ф.8.1 Журнал учета'!$AJ$29:$AJ$89,'ф.8.1 Журнал учета'!$AR$29:$AR$89,--ISNUMBER(SEARCH("В",'ф.8.1 Журнал учета'!$AI$29:$AI$89)),--ISNUMBER(SEARCH(1,'ф.8.1 Журнал учета'!$BB$29:$BB$89)))/AD27,5))</f>
        <v>-</v>
      </c>
      <c r="AE31" s="115" t="str">
        <f>IF(AE27=0,"-",ROUND(SUMPRODUCT('ф.8.1 Журнал учета'!$BT$29:$BT$89,'ф.8.1 Журнал учета'!$BY$29:$BY$89,--ISNUMBER(SEARCH("В",'ф.8.1 Журнал учета'!$BS$29:$BS$89)),--ISNUMBER(SEARCH(1,'ф.8.1 Журнал учета'!$CD$29:$CD$89)))/AE27,5))</f>
        <v>-</v>
      </c>
    </row>
    <row r="32" spans="4:31" ht="24.4" customHeight="1" x14ac:dyDescent="0.25">
      <c r="D32" s="18">
        <v>23.25</v>
      </c>
      <c r="AB32" s="55" t="s">
        <v>88</v>
      </c>
      <c r="AC32" s="83" t="s">
        <v>612</v>
      </c>
      <c r="AD32" s="115" t="str">
        <f>IF(AD28=0,"-",ROUND(SUMPRODUCT('ф.8.1 Журнал учета'!$AJ$29:$AJ$89,'ф.8.1 Журнал учета'!$AS$29:$AS$89,--ISNUMBER(SEARCH("В",'ф.8.1 Журнал учета'!$AI$29:$AI$89)),--ISNUMBER(SEARCH(1,'ф.8.1 Журнал учета'!$BB$29:$BB$89)))/AD28,5))</f>
        <v>-</v>
      </c>
      <c r="AE32" s="115" t="str">
        <f>IF(AE28=0,"-",ROUND(SUMPRODUCT('ф.8.1 Журнал учета'!$BT$29:$BT$89,'ф.8.1 Журнал учета'!$BZ$29:$BZ$89,--ISNUMBER(SEARCH("В",'ф.8.1 Журнал учета'!$BS$29:$BS$89)),--ISNUMBER(SEARCH(1,'ф.8.1 Журнал учета'!$CD$29:$CD$89)))/AE28,5))</f>
        <v>-</v>
      </c>
    </row>
    <row r="33" spans="4:33" ht="24.4" customHeight="1" x14ac:dyDescent="0.25">
      <c r="D33" s="18">
        <v>23.25</v>
      </c>
      <c r="AB33" s="55" t="s">
        <v>95</v>
      </c>
      <c r="AC33" s="83" t="s">
        <v>613</v>
      </c>
      <c r="AD33" s="115" t="str">
        <f>IF(AD29=0,"-",ROUND(SUMPRODUCT('ф.8.1 Журнал учета'!$AJ$29:$AJ$89,'ф.8.1 Журнал учета'!$AT$29:$AT$89,--ISNUMBER(SEARCH("В",'ф.8.1 Журнал учета'!$AI$29:$AI$89)),--ISNUMBER(SEARCH(1,'ф.8.1 Журнал учета'!$BB$29:$BB$89)))/AD29,5))</f>
        <v>-</v>
      </c>
      <c r="AE33" s="115" t="str">
        <f>IF(AE29=0,"-",ROUND(SUMPRODUCT('ф.8.1 Журнал учета'!$BT$29:$BT$89,'ф.8.1 Журнал учета'!$CA$29:$CA$89,--ISNUMBER(SEARCH("В",'ф.8.1 Журнал учета'!$BS$29:$BS$89)),--ISNUMBER(SEARCH(1,'ф.8.1 Журнал учета'!$CD$29:$CD$89)))/AE29,5))</f>
        <v>-</v>
      </c>
    </row>
    <row r="34" spans="4:33" ht="24.4" customHeight="1" x14ac:dyDescent="0.25">
      <c r="D34" s="18">
        <v>23.25</v>
      </c>
      <c r="AB34" s="55" t="s">
        <v>103</v>
      </c>
      <c r="AC34" s="83" t="s">
        <v>614</v>
      </c>
      <c r="AD34" s="115" t="str">
        <f>IF(AD30=0,"-",ROUND(SUMPRODUCT('ф.8.1 Журнал учета'!$AJ$29:$AJ$89,'ф.8.1 Журнал учета'!$AU$29:$AU$89,--ISNUMBER(SEARCH("В",'ф.8.1 Журнал учета'!$AI$29:$AI$89)),--ISNUMBER(SEARCH(1,'ф.8.1 Журнал учета'!$BB$29:$BB$89)))/AD30,5))</f>
        <v>-</v>
      </c>
      <c r="AE34" s="115" t="str">
        <f>IF(AE30=0,"-",ROUND(SUMPRODUCT('ф.8.1 Журнал учета'!$BT$29:$BT$89,'ф.8.1 Журнал учета'!$CB$29:$CB$89,--ISNUMBER(SEARCH("В",'ф.8.1 Журнал учета'!$BS$29:$BS$89)),--ISNUMBER(SEARCH(1,'ф.8.1 Журнал учета'!$CD$29:$CD$89)))/AE30,5))</f>
        <v>-</v>
      </c>
    </row>
    <row r="35" spans="4:33" ht="28.35" customHeight="1" x14ac:dyDescent="0.25">
      <c r="D35" s="18">
        <v>27</v>
      </c>
      <c r="AB35" s="55" t="s">
        <v>537</v>
      </c>
      <c r="AC35" s="83" t="s">
        <v>615</v>
      </c>
      <c r="AD35" s="115" t="str">
        <f>IF(AD27=0,"-",ROUND(SUMIFS('ф.8.1 Журнал учета'!$AR$29:$AR$89,'ф.8.1 Журнал учета'!$AI$29:$AI$89,"В",'ф.8.1 Журнал учета'!$BB$29:$BB$89,"=1")/AD27,5))</f>
        <v>-</v>
      </c>
      <c r="AE35" s="115" t="str">
        <f>IF(AE27=0,"-",ROUND(SUMIFS('ф.8.1 Журнал учета'!$BY$29:$BY$89,'ф.8.1 Журнал учета'!$BS$29:$BS$89,"В",'ф.8.1 Журнал учета'!$CD$29:$CD$89,"=1")/AE27,5))</f>
        <v>-</v>
      </c>
    </row>
    <row r="36" spans="4:33" ht="28.35" customHeight="1" x14ac:dyDescent="0.25">
      <c r="D36" s="18">
        <v>27</v>
      </c>
      <c r="AB36" s="55" t="s">
        <v>543</v>
      </c>
      <c r="AC36" s="83" t="s">
        <v>616</v>
      </c>
      <c r="AD36" s="115" t="str">
        <f>IF(AD28=0,"-",ROUND(SUMIFS('ф.8.1 Журнал учета'!$AS$29:$AS$89,'ф.8.1 Журнал учета'!$AI$29:$AI$89,"В",'ф.8.1 Журнал учета'!$BB$29:$BB$89,"=1")/AD28,5))</f>
        <v>-</v>
      </c>
      <c r="AE36" s="115" t="str">
        <f>IF(AE28=0,"-",ROUND(SUMIFS('ф.8.1 Журнал учета'!$BZ$29:$BZ$89,'ф.8.1 Журнал учета'!$BS$29:$BS$89,"В",'ф.8.1 Журнал учета'!$CD$29:$CD$89,"=1")/AE28,5))</f>
        <v>-</v>
      </c>
    </row>
    <row r="37" spans="4:33" ht="28.35" customHeight="1" x14ac:dyDescent="0.25">
      <c r="D37" s="18">
        <v>27</v>
      </c>
      <c r="AB37" s="55" t="s">
        <v>617</v>
      </c>
      <c r="AC37" s="83" t="s">
        <v>618</v>
      </c>
      <c r="AD37" s="115" t="str">
        <f>IF(AD29=0,"-",ROUND(SUMIFS('ф.8.1 Журнал учета'!$AT$29:$AT$89,'ф.8.1 Журнал учета'!$AI$29:$AI$89,"В",'ф.8.1 Журнал учета'!$BB$29:$BB$89,"=1")/AD29,5))</f>
        <v>-</v>
      </c>
      <c r="AE37" s="115" t="str">
        <f>IF(AE29=0,"-",ROUND(SUMIFS('ф.8.1 Журнал учета'!$CA$29:$CA$89,'ф.8.1 Журнал учета'!$BS$29:$BS$89,"В",'ф.8.1 Журнал учета'!$CD$29:$CD$89,"=1")/AE29,5))</f>
        <v>-</v>
      </c>
    </row>
    <row r="38" spans="4:33" ht="28.35" customHeight="1" x14ac:dyDescent="0.25">
      <c r="D38" s="18">
        <v>27</v>
      </c>
      <c r="AB38" s="55" t="s">
        <v>619</v>
      </c>
      <c r="AC38" s="83" t="s">
        <v>620</v>
      </c>
      <c r="AD38" s="115" t="str">
        <f>IF(AD30=0,"-",ROUND(SUMIFS('ф.8.1 Журнал учета'!$AU$29:$AU$89,'ф.8.1 Журнал учета'!$AI$29:$AI$89,"В",'ф.8.1 Журнал учета'!$BB$29:$BB$89,"=1")/AD30,5))</f>
        <v>-</v>
      </c>
      <c r="AE38" s="115" t="str">
        <f>IF(AE30=0,"-",ROUND(SUMIFS('ф.8.1 Журнал учета'!$CB$29:$CB$89,'ф.8.1 Журнал учета'!$BS$29:$BS$89,"В",'ф.8.1 Журнал учета'!$CD$29:$CD$89,"=1")/AE30,5))</f>
        <v>-</v>
      </c>
    </row>
    <row r="39" spans="4:33" ht="11.85" customHeight="1" x14ac:dyDescent="0.25">
      <c r="D39" s="18">
        <v>11.25</v>
      </c>
      <c r="AB39" s="297"/>
      <c r="AC39" s="297"/>
      <c r="AD39" s="108"/>
    </row>
    <row r="40" spans="4:33" ht="47.25" customHeight="1" x14ac:dyDescent="0.25">
      <c r="D40" s="18">
        <v>45</v>
      </c>
      <c r="AB40" s="112"/>
      <c r="AC40" s="85" t="str">
        <f>IF(LEN(ruk_dol)=0,"",ruk_dol)</f>
        <v>Генеральный директор</v>
      </c>
      <c r="AD40" s="277" t="str">
        <f>IF(LEN(ruk_FIO)=0,"",ruk_FIO)</f>
        <v>Мурадов Сергей Юрьевич</v>
      </c>
      <c r="AE40" s="277"/>
    </row>
    <row r="41" spans="4:33" ht="21.2" customHeight="1" x14ac:dyDescent="0.25">
      <c r="D41" s="18">
        <v>20.25</v>
      </c>
      <c r="AB41" s="113"/>
      <c r="AC41" s="87" t="s">
        <v>445</v>
      </c>
      <c r="AD41" s="279" t="s">
        <v>545</v>
      </c>
      <c r="AE41" s="252"/>
      <c r="AF41" s="86" t="s">
        <v>546</v>
      </c>
    </row>
    <row r="42" spans="4:33" ht="11.85" customHeight="1" x14ac:dyDescent="0.25">
      <c r="D42" s="18">
        <v>11.25</v>
      </c>
      <c r="AB42" s="112"/>
      <c r="AC42" s="16"/>
      <c r="AD42" s="16"/>
    </row>
    <row r="43" spans="4:33" ht="11.25" hidden="1" customHeight="1" x14ac:dyDescent="0.25">
      <c r="D43" s="18">
        <v>0</v>
      </c>
      <c r="AB43" s="297"/>
      <c r="AC43" s="297"/>
      <c r="AD43" s="108"/>
    </row>
    <row r="44" spans="4:33" ht="11.25" hidden="1" customHeight="1" x14ac:dyDescent="0.25">
      <c r="D44" s="19">
        <v>0</v>
      </c>
      <c r="AG44" s="19" t="s">
        <v>457</v>
      </c>
    </row>
  </sheetData>
  <sheetProtection formatColumns="0" formatRows="0" insertRows="0" deleteColumns="0" deleteRows="0" sort="0" autoFilter="0"/>
  <mergeCells count="6">
    <mergeCell ref="AB43:AC43"/>
    <mergeCell ref="AB21:AD21"/>
    <mergeCell ref="AB22:AD22"/>
    <mergeCell ref="AB39:AC39"/>
    <mergeCell ref="AD40:AE40"/>
    <mergeCell ref="AD41:AE41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A016-A431-6FDA-BF8E-CE2F81ABEAC8}">
  <sheetPr>
    <tabColor theme="3" tint="0.79998168889431442"/>
    <pageSetUpPr fitToPage="1"/>
  </sheetPr>
  <dimension ref="A1:CT90"/>
  <sheetViews>
    <sheetView showGridLines="0" view="pageBreakPreview" zoomScale="60" zoomScaleNormal="100" workbookViewId="0">
      <pane xSplit="29" ySplit="28" topLeftCell="AD74" activePane="bottomRight" state="frozen"/>
      <selection pane="topRight" activeCell="AD1" sqref="AD1"/>
      <selection pane="bottomLeft" activeCell="A29" sqref="A29"/>
      <selection pane="bottomRight" activeCell="AC84" sqref="AC84:AF85"/>
    </sheetView>
  </sheetViews>
  <sheetFormatPr defaultColWidth="9.140625" defaultRowHeight="11.25" customHeight="1" x14ac:dyDescent="0.25"/>
  <cols>
    <col min="1" max="26" width="21.140625" hidden="1" customWidth="1"/>
    <col min="27" max="27" width="6" customWidth="1"/>
    <col min="28" max="28" width="5.140625" customWidth="1"/>
    <col min="29" max="29" width="45.42578125" customWidth="1"/>
    <col min="30" max="30" width="13" customWidth="1"/>
    <col min="31" max="31" width="27" customWidth="1"/>
    <col min="32" max="32" width="19.140625" customWidth="1"/>
    <col min="33" max="34" width="15" customWidth="1"/>
    <col min="35" max="35" width="13.28515625" customWidth="1"/>
    <col min="36" max="36" width="17" customWidth="1"/>
    <col min="37" max="37" width="20.7109375" customWidth="1"/>
    <col min="38" max="38" width="17.85546875" customWidth="1"/>
    <col min="39" max="39" width="17.7109375" customWidth="1"/>
    <col min="41" max="43" width="10.140625" customWidth="1"/>
    <col min="44" max="44" width="14.7109375" customWidth="1"/>
    <col min="45" max="45" width="11.28515625" customWidth="1"/>
    <col min="46" max="46" width="12.7109375" customWidth="1"/>
    <col min="47" max="47" width="13.7109375" customWidth="1"/>
    <col min="48" max="48" width="15.42578125" customWidth="1"/>
    <col min="49" max="49" width="22.140625" customWidth="1"/>
    <col min="50" max="50" width="20.42578125" customWidth="1"/>
    <col min="51" max="53" width="15" customWidth="1"/>
    <col min="54" max="54" width="18" customWidth="1"/>
    <col min="55" max="55" width="20.42578125" hidden="1" customWidth="1"/>
    <col min="56" max="56" width="15.7109375" hidden="1" customWidth="1"/>
    <col min="57" max="67" width="9.140625" hidden="1"/>
    <col min="68" max="68" width="11.85546875" hidden="1" customWidth="1"/>
    <col min="69" max="70" width="25.7109375" hidden="1" customWidth="1"/>
    <col min="71" max="71" width="14" hidden="1" customWidth="1"/>
    <col min="72" max="72" width="17.7109375" hidden="1" customWidth="1"/>
    <col min="73" max="73" width="9.85546875" hidden="1" customWidth="1"/>
    <col min="74" max="76" width="10.85546875" hidden="1" customWidth="1"/>
    <col min="77" max="77" width="15.42578125" hidden="1" customWidth="1"/>
    <col min="78" max="78" width="12" hidden="1" customWidth="1"/>
    <col min="79" max="79" width="13.42578125" hidden="1" customWidth="1"/>
    <col min="80" max="80" width="14.42578125" hidden="1" customWidth="1"/>
    <col min="81" max="81" width="16.140625" hidden="1" customWidth="1"/>
    <col min="82" max="82" width="18.7109375" hidden="1" customWidth="1"/>
    <col min="83" max="83" width="15.7109375" hidden="1" customWidth="1"/>
    <col min="84" max="87" width="6.140625" hidden="1" customWidth="1"/>
    <col min="88" max="88" width="2.140625" hidden="1" customWidth="1"/>
    <col min="89" max="89" width="1.85546875" hidden="1" customWidth="1"/>
    <col min="90" max="90" width="2.140625" hidden="1" customWidth="1"/>
    <col min="91" max="91" width="1.85546875" hidden="1" customWidth="1"/>
    <col min="92" max="92" width="2.140625" hidden="1" customWidth="1"/>
    <col min="93" max="93" width="1.85546875" hidden="1" customWidth="1"/>
    <col min="94" max="94" width="2.140625" hidden="1" customWidth="1"/>
    <col min="95" max="95" width="1.85546875" hidden="1" customWidth="1"/>
    <col min="96" max="98" width="9.140625" hidden="1"/>
  </cols>
  <sheetData>
    <row r="1" spans="4:97" ht="11.25" hidden="1" customHeight="1" x14ac:dyDescent="0.25">
      <c r="AA1" s="116" t="s">
        <v>482</v>
      </c>
      <c r="AB1" s="116" t="s">
        <v>483</v>
      </c>
      <c r="AC1" s="116" t="s">
        <v>484</v>
      </c>
      <c r="AG1" s="116" t="s">
        <v>621</v>
      </c>
      <c r="AH1" s="116" t="s">
        <v>622</v>
      </c>
      <c r="AI1" s="117" t="s">
        <v>623</v>
      </c>
      <c r="AJ1" s="116" t="s">
        <v>624</v>
      </c>
      <c r="AK1" s="116" t="s">
        <v>625</v>
      </c>
      <c r="AL1" s="116" t="s">
        <v>626</v>
      </c>
      <c r="AM1" s="116" t="s">
        <v>627</v>
      </c>
      <c r="AY1" s="117" t="s">
        <v>628</v>
      </c>
      <c r="AZ1" s="117" t="s">
        <v>629</v>
      </c>
      <c r="BA1" s="117" t="s">
        <v>630</v>
      </c>
      <c r="BB1" s="116" t="s">
        <v>631</v>
      </c>
      <c r="BC1" s="116" t="s">
        <v>632</v>
      </c>
      <c r="BD1" s="116" t="s">
        <v>485</v>
      </c>
      <c r="CD1" s="116" t="s">
        <v>633</v>
      </c>
      <c r="CR1" s="19" t="s">
        <v>486</v>
      </c>
    </row>
    <row r="2" spans="4:97" ht="15" hidden="1" customHeight="1" x14ac:dyDescent="0.25">
      <c r="BC2" s="18" t="b">
        <f>REGION_NAME="Волгоградская область"</f>
        <v>0</v>
      </c>
      <c r="BD2" s="18" t="b">
        <f>REGION_NAME="Красноярский край"</f>
        <v>0</v>
      </c>
      <c r="BQ2" s="87" t="b">
        <f t="shared" ref="BQ2:CD2" si="0">REPORT_OWNER="Версия регулятора"</f>
        <v>0</v>
      </c>
      <c r="BR2" s="87" t="b">
        <f t="shared" si="0"/>
        <v>0</v>
      </c>
      <c r="BS2" s="87" t="b">
        <f t="shared" si="0"/>
        <v>0</v>
      </c>
      <c r="BT2" s="87" t="b">
        <f t="shared" si="0"/>
        <v>0</v>
      </c>
      <c r="BU2" s="87" t="b">
        <f t="shared" si="0"/>
        <v>0</v>
      </c>
      <c r="BV2" s="87" t="b">
        <f t="shared" si="0"/>
        <v>0</v>
      </c>
      <c r="BW2" s="87" t="b">
        <f t="shared" si="0"/>
        <v>0</v>
      </c>
      <c r="BX2" s="87" t="b">
        <f t="shared" si="0"/>
        <v>0</v>
      </c>
      <c r="BY2" s="87" t="b">
        <f t="shared" si="0"/>
        <v>0</v>
      </c>
      <c r="BZ2" s="87" t="b">
        <f t="shared" si="0"/>
        <v>0</v>
      </c>
      <c r="CA2" s="87" t="b">
        <f t="shared" si="0"/>
        <v>0</v>
      </c>
      <c r="CB2" s="87" t="b">
        <f t="shared" si="0"/>
        <v>0</v>
      </c>
      <c r="CC2" s="87" t="b">
        <f t="shared" si="0"/>
        <v>0</v>
      </c>
      <c r="CD2" s="87" t="b">
        <f t="shared" si="0"/>
        <v>0</v>
      </c>
      <c r="CE2" s="87" t="b">
        <f>AND(REGION_NAME="Красноярский край",REPORT_OWNER="Версия регулятора")</f>
        <v>0</v>
      </c>
    </row>
    <row r="3" spans="4:97" ht="15" hidden="1" customHeight="1" x14ac:dyDescent="0.25"/>
    <row r="4" spans="4:97" ht="1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5.14</v>
      </c>
      <c r="AC4" s="18">
        <v>36.14</v>
      </c>
      <c r="AD4" s="18">
        <v>13</v>
      </c>
      <c r="AE4" s="18">
        <v>27</v>
      </c>
      <c r="AF4" s="18">
        <v>15.86</v>
      </c>
      <c r="AG4" s="18">
        <v>15</v>
      </c>
      <c r="AH4" s="18">
        <v>15</v>
      </c>
      <c r="AI4" s="18">
        <v>13.29</v>
      </c>
      <c r="AJ4" s="18">
        <v>17</v>
      </c>
      <c r="AK4" s="18">
        <v>20.71</v>
      </c>
      <c r="AL4" s="18">
        <v>17.86</v>
      </c>
      <c r="AM4" s="18">
        <v>17.71</v>
      </c>
      <c r="AN4" s="18">
        <v>9.14</v>
      </c>
      <c r="AO4" s="18">
        <v>10.14</v>
      </c>
      <c r="AP4" s="18">
        <v>10.14</v>
      </c>
      <c r="AQ4" s="18">
        <v>10.14</v>
      </c>
      <c r="AR4" s="18">
        <v>14.71</v>
      </c>
      <c r="AS4" s="18">
        <v>11.29</v>
      </c>
      <c r="AT4" s="18">
        <v>12.71</v>
      </c>
      <c r="AU4" s="18">
        <v>13.71</v>
      </c>
      <c r="AV4" s="18">
        <v>15.43</v>
      </c>
      <c r="AW4" s="18">
        <v>22.14</v>
      </c>
      <c r="AX4" s="18">
        <v>20.43</v>
      </c>
      <c r="AY4" s="18">
        <v>15</v>
      </c>
      <c r="AZ4" s="18">
        <v>15</v>
      </c>
      <c r="BA4" s="18">
        <v>15</v>
      </c>
      <c r="BB4" s="18">
        <v>18</v>
      </c>
      <c r="BC4" s="18">
        <v>19.71</v>
      </c>
      <c r="BD4" s="18">
        <v>15</v>
      </c>
      <c r="BE4" s="18">
        <v>0</v>
      </c>
      <c r="BF4" s="18">
        <v>0</v>
      </c>
      <c r="BG4" s="18">
        <v>0</v>
      </c>
      <c r="BH4" s="18">
        <v>0</v>
      </c>
      <c r="BI4" s="18">
        <v>0</v>
      </c>
      <c r="BJ4" s="18">
        <v>0</v>
      </c>
      <c r="BK4" s="18">
        <v>0</v>
      </c>
      <c r="BL4" s="18">
        <v>0</v>
      </c>
      <c r="BM4" s="18">
        <v>0</v>
      </c>
      <c r="BN4" s="18">
        <v>0</v>
      </c>
      <c r="BO4" s="18">
        <v>0</v>
      </c>
      <c r="BP4" s="18">
        <v>0</v>
      </c>
      <c r="BQ4" s="18">
        <v>25</v>
      </c>
      <c r="BR4" s="18">
        <v>25</v>
      </c>
      <c r="BS4" s="18">
        <v>13.29</v>
      </c>
      <c r="BT4" s="18">
        <v>17</v>
      </c>
      <c r="BU4" s="18">
        <v>9.14</v>
      </c>
      <c r="BV4" s="18">
        <v>10.14</v>
      </c>
      <c r="BW4" s="18">
        <v>10.14</v>
      </c>
      <c r="BX4" s="18">
        <v>10.14</v>
      </c>
      <c r="BY4" s="18">
        <v>14.71</v>
      </c>
      <c r="BZ4" s="18">
        <v>11.29</v>
      </c>
      <c r="CA4" s="18">
        <v>12.71</v>
      </c>
      <c r="CB4" s="18">
        <v>13.71</v>
      </c>
      <c r="CC4" s="18">
        <v>15.43</v>
      </c>
      <c r="CD4" s="18">
        <v>18</v>
      </c>
      <c r="CE4" s="18">
        <v>15</v>
      </c>
      <c r="CF4" s="18">
        <v>0</v>
      </c>
      <c r="CG4" s="18">
        <v>0</v>
      </c>
      <c r="CH4" s="18">
        <v>0</v>
      </c>
      <c r="CI4" s="18">
        <v>0</v>
      </c>
      <c r="CJ4" s="18">
        <v>0</v>
      </c>
      <c r="CK4" s="18">
        <v>0</v>
      </c>
      <c r="CL4" s="18">
        <v>0</v>
      </c>
      <c r="CM4" s="18">
        <v>0</v>
      </c>
      <c r="CN4" s="18">
        <v>0</v>
      </c>
      <c r="CO4" s="18">
        <v>0</v>
      </c>
      <c r="CP4" s="18">
        <v>0</v>
      </c>
      <c r="CQ4" s="18">
        <v>0</v>
      </c>
      <c r="CR4" s="19">
        <v>0</v>
      </c>
      <c r="CS4" s="19">
        <v>0</v>
      </c>
    </row>
    <row r="5" spans="4:97" ht="15" hidden="1" customHeight="1" x14ac:dyDescent="0.25">
      <c r="D5" s="18">
        <v>25</v>
      </c>
    </row>
    <row r="6" spans="4:97" ht="15" hidden="1" customHeight="1" x14ac:dyDescent="0.25">
      <c r="D6" s="18">
        <v>25</v>
      </c>
    </row>
    <row r="7" spans="4:97" ht="15" hidden="1" customHeight="1" x14ac:dyDescent="0.25">
      <c r="D7" s="18">
        <v>25</v>
      </c>
    </row>
    <row r="8" spans="4:97" ht="15" hidden="1" customHeight="1" x14ac:dyDescent="0.25">
      <c r="D8" s="18">
        <v>25</v>
      </c>
      <c r="AB8" s="252"/>
      <c r="AC8" s="252"/>
      <c r="AJ8" s="252"/>
      <c r="AK8" s="252"/>
      <c r="AL8" s="252"/>
      <c r="AM8" s="252"/>
    </row>
    <row r="9" spans="4:97" ht="15" hidden="1" customHeight="1" x14ac:dyDescent="0.25">
      <c r="D9" s="18">
        <v>25</v>
      </c>
    </row>
    <row r="10" spans="4:97" ht="15" hidden="1" customHeight="1" x14ac:dyDescent="0.25">
      <c r="D10" s="18">
        <v>25</v>
      </c>
    </row>
    <row r="11" spans="4:97" ht="15" hidden="1" customHeight="1" x14ac:dyDescent="0.25">
      <c r="D11" s="18">
        <v>25</v>
      </c>
    </row>
    <row r="12" spans="4:97" ht="15" hidden="1" customHeight="1" x14ac:dyDescent="0.25">
      <c r="D12" s="18">
        <v>25</v>
      </c>
    </row>
    <row r="13" spans="4:97" ht="15" hidden="1" customHeight="1" x14ac:dyDescent="0.25">
      <c r="D13" s="18">
        <v>25</v>
      </c>
    </row>
    <row r="14" spans="4:97" ht="15" hidden="1" customHeight="1" x14ac:dyDescent="0.25">
      <c r="D14" s="18">
        <v>25</v>
      </c>
    </row>
    <row r="15" spans="4:97" ht="15" hidden="1" customHeight="1" x14ac:dyDescent="0.25">
      <c r="D15" s="18">
        <v>25</v>
      </c>
    </row>
    <row r="16" spans="4:97" ht="15" hidden="1" customHeight="1" x14ac:dyDescent="0.25">
      <c r="D16" s="18">
        <v>25</v>
      </c>
    </row>
    <row r="17" spans="1:98" ht="15" hidden="1" customHeight="1" x14ac:dyDescent="0.25">
      <c r="D17" s="18">
        <v>25</v>
      </c>
    </row>
    <row r="18" spans="1:98" ht="15" hidden="1" customHeight="1" x14ac:dyDescent="0.25">
      <c r="D18" s="18">
        <v>25</v>
      </c>
    </row>
    <row r="19" spans="1:98" ht="15" hidden="1" customHeight="1" x14ac:dyDescent="0.25">
      <c r="D19" s="18">
        <v>25</v>
      </c>
    </row>
    <row r="20" spans="1:98" ht="15.75" customHeight="1" x14ac:dyDescent="0.25">
      <c r="D20" s="18">
        <v>15</v>
      </c>
    </row>
    <row r="21" spans="1:98" ht="36.75" customHeight="1" x14ac:dyDescent="0.25">
      <c r="D21" s="18">
        <v>35</v>
      </c>
      <c r="AB21" s="298" t="str">
        <f>ORG</f>
        <v>АО "КСК"</v>
      </c>
      <c r="AC21" s="252"/>
      <c r="AD21" s="252"/>
    </row>
    <row r="22" spans="1:98" ht="21.2" customHeight="1" x14ac:dyDescent="0.25">
      <c r="D22" s="18">
        <v>20.25</v>
      </c>
      <c r="AB22" s="269" t="str">
        <f>"Форма 8.1. Журнал учета данных первичной информации по всем прекращениям передачи электрической энергии, произошедших на объектах сетевой организации "&amp;PRD&amp;" год"</f>
        <v>Форма 8.1. Журнал учета данных первичной информации по всем прекращениям передачи электрической энергии, произошедших на объектах сетевой организации 2023 год</v>
      </c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118"/>
      <c r="BD22" s="20"/>
    </row>
    <row r="23" spans="1:98" ht="5.45" customHeight="1" x14ac:dyDescent="0.25">
      <c r="D23" s="18">
        <v>5.25</v>
      </c>
    </row>
    <row r="24" spans="1:98" ht="26.85" customHeight="1" x14ac:dyDescent="0.25">
      <c r="D24" s="18">
        <v>25.5</v>
      </c>
      <c r="AB24" s="293" t="s">
        <v>634</v>
      </c>
      <c r="AC24" s="293"/>
      <c r="AD24" s="293"/>
      <c r="AE24" s="293"/>
      <c r="AF24" s="293"/>
      <c r="AG24" s="293"/>
      <c r="AH24" s="293"/>
      <c r="AI24" s="293"/>
      <c r="AJ24" s="293"/>
      <c r="AK24" s="293" t="s">
        <v>635</v>
      </c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 t="s">
        <v>636</v>
      </c>
      <c r="AY24" s="293" t="s">
        <v>637</v>
      </c>
      <c r="AZ24" s="293"/>
      <c r="BA24" s="293"/>
      <c r="BB24" s="289" t="s">
        <v>638</v>
      </c>
      <c r="BC24" s="289" t="s">
        <v>639</v>
      </c>
      <c r="BD24" s="293" t="s">
        <v>640</v>
      </c>
      <c r="BQ24" s="307" t="s">
        <v>641</v>
      </c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8"/>
      <c r="CE24" s="119"/>
    </row>
    <row r="25" spans="1:98" ht="31.5" customHeight="1" x14ac:dyDescent="0.25">
      <c r="D25" s="18">
        <v>30</v>
      </c>
      <c r="AB25" s="293" t="s">
        <v>487</v>
      </c>
      <c r="AC25" s="293" t="s">
        <v>642</v>
      </c>
      <c r="AD25" s="289" t="s">
        <v>643</v>
      </c>
      <c r="AE25" s="293" t="s">
        <v>644</v>
      </c>
      <c r="AF25" s="293" t="s">
        <v>645</v>
      </c>
      <c r="AG25" s="289" t="s">
        <v>646</v>
      </c>
      <c r="AH25" s="289" t="s">
        <v>647</v>
      </c>
      <c r="AI25" s="293" t="s">
        <v>648</v>
      </c>
      <c r="AJ25" s="289" t="s">
        <v>649</v>
      </c>
      <c r="AK25" s="293" t="s">
        <v>650</v>
      </c>
      <c r="AL25" s="289" t="s">
        <v>651</v>
      </c>
      <c r="AM25" s="289" t="s">
        <v>652</v>
      </c>
      <c r="AN25" s="289" t="s">
        <v>653</v>
      </c>
      <c r="AO25" s="289"/>
      <c r="AP25" s="289"/>
      <c r="AQ25" s="289"/>
      <c r="AR25" s="289"/>
      <c r="AS25" s="289"/>
      <c r="AT25" s="289"/>
      <c r="AU25" s="289"/>
      <c r="AV25" s="289"/>
      <c r="AW25" s="289" t="s">
        <v>654</v>
      </c>
      <c r="AX25" s="293"/>
      <c r="AY25" s="289" t="s">
        <v>655</v>
      </c>
      <c r="AZ25" s="289" t="s">
        <v>17</v>
      </c>
      <c r="BA25" s="289" t="s">
        <v>656</v>
      </c>
      <c r="BB25" s="289"/>
      <c r="BC25" s="289"/>
      <c r="BD25" s="293"/>
      <c r="BQ25" s="289" t="s">
        <v>646</v>
      </c>
      <c r="BR25" s="289" t="s">
        <v>647</v>
      </c>
      <c r="BS25" s="293" t="s">
        <v>648</v>
      </c>
      <c r="BT25" s="289" t="s">
        <v>649</v>
      </c>
      <c r="BU25" s="289" t="s">
        <v>653</v>
      </c>
      <c r="BV25" s="289"/>
      <c r="BW25" s="289"/>
      <c r="BX25" s="289"/>
      <c r="BY25" s="289"/>
      <c r="BZ25" s="289"/>
      <c r="CA25" s="289"/>
      <c r="CB25" s="289"/>
      <c r="CC25" s="289"/>
      <c r="CD25" s="290" t="s">
        <v>638</v>
      </c>
      <c r="CE25" s="293" t="s">
        <v>657</v>
      </c>
    </row>
    <row r="26" spans="1:98" ht="51.2" customHeight="1" x14ac:dyDescent="0.25">
      <c r="D26" s="18">
        <v>48.75</v>
      </c>
      <c r="AB26" s="293"/>
      <c r="AC26" s="293" t="s">
        <v>492</v>
      </c>
      <c r="AD26" s="289" t="s">
        <v>88</v>
      </c>
      <c r="AE26" s="293" t="s">
        <v>95</v>
      </c>
      <c r="AF26" s="293">
        <v>5</v>
      </c>
      <c r="AG26" s="289">
        <v>6</v>
      </c>
      <c r="AH26" s="289"/>
      <c r="AI26" s="293">
        <v>8</v>
      </c>
      <c r="AJ26" s="289">
        <v>9</v>
      </c>
      <c r="AK26" s="293">
        <v>10</v>
      </c>
      <c r="AL26" s="289" t="s">
        <v>658</v>
      </c>
      <c r="AM26" s="289" t="s">
        <v>659</v>
      </c>
      <c r="AN26" s="289" t="s">
        <v>660</v>
      </c>
      <c r="AO26" s="293" t="s">
        <v>661</v>
      </c>
      <c r="AP26" s="293"/>
      <c r="AQ26" s="293"/>
      <c r="AR26" s="293" t="s">
        <v>662</v>
      </c>
      <c r="AS26" s="293"/>
      <c r="AT26" s="293"/>
      <c r="AU26" s="293"/>
      <c r="AV26" s="289" t="s">
        <v>663</v>
      </c>
      <c r="AW26" s="289"/>
      <c r="AX26" s="293"/>
      <c r="AY26" s="289"/>
      <c r="AZ26" s="289"/>
      <c r="BA26" s="289"/>
      <c r="BB26" s="289"/>
      <c r="BC26" s="289"/>
      <c r="BD26" s="293"/>
      <c r="BQ26" s="289">
        <v>6</v>
      </c>
      <c r="BR26" s="289"/>
      <c r="BS26" s="293">
        <v>8</v>
      </c>
      <c r="BT26" s="289">
        <v>9</v>
      </c>
      <c r="BU26" s="289" t="s">
        <v>660</v>
      </c>
      <c r="BV26" s="293" t="s">
        <v>661</v>
      </c>
      <c r="BW26" s="293"/>
      <c r="BX26" s="293"/>
      <c r="BY26" s="293" t="s">
        <v>662</v>
      </c>
      <c r="BZ26" s="293"/>
      <c r="CA26" s="293"/>
      <c r="CB26" s="293"/>
      <c r="CC26" s="289" t="s">
        <v>663</v>
      </c>
      <c r="CD26" s="306"/>
      <c r="CE26" s="293">
        <v>8</v>
      </c>
    </row>
    <row r="27" spans="1:98" ht="67.5" customHeight="1" x14ac:dyDescent="0.25">
      <c r="D27" s="18">
        <v>64.25</v>
      </c>
      <c r="AB27" s="293"/>
      <c r="AC27" s="293"/>
      <c r="AD27" s="289"/>
      <c r="AE27" s="293"/>
      <c r="AF27" s="293"/>
      <c r="AG27" s="289"/>
      <c r="AH27" s="289"/>
      <c r="AI27" s="293"/>
      <c r="AJ27" s="289"/>
      <c r="AK27" s="293"/>
      <c r="AL27" s="289"/>
      <c r="AM27" s="289"/>
      <c r="AN27" s="289"/>
      <c r="AO27" s="70" t="s">
        <v>664</v>
      </c>
      <c r="AP27" s="70" t="s">
        <v>665</v>
      </c>
      <c r="AQ27" s="70" t="s">
        <v>666</v>
      </c>
      <c r="AR27" s="70" t="s">
        <v>667</v>
      </c>
      <c r="AS27" s="70" t="s">
        <v>668</v>
      </c>
      <c r="AT27" s="70" t="s">
        <v>669</v>
      </c>
      <c r="AU27" s="70" t="s">
        <v>670</v>
      </c>
      <c r="AV27" s="289"/>
      <c r="AW27" s="289"/>
      <c r="AX27" s="293"/>
      <c r="AY27" s="289"/>
      <c r="AZ27" s="289"/>
      <c r="BA27" s="289"/>
      <c r="BB27" s="289"/>
      <c r="BC27" s="289"/>
      <c r="BD27" s="293"/>
      <c r="BQ27" s="289"/>
      <c r="BR27" s="289"/>
      <c r="BS27" s="293"/>
      <c r="BT27" s="289"/>
      <c r="BU27" s="289"/>
      <c r="BV27" s="70" t="s">
        <v>664</v>
      </c>
      <c r="BW27" s="70" t="s">
        <v>665</v>
      </c>
      <c r="BX27" s="70" t="s">
        <v>666</v>
      </c>
      <c r="BY27" s="70" t="s">
        <v>667</v>
      </c>
      <c r="BZ27" s="70" t="s">
        <v>668</v>
      </c>
      <c r="CA27" s="70" t="s">
        <v>669</v>
      </c>
      <c r="CB27" s="70" t="s">
        <v>670</v>
      </c>
      <c r="CC27" s="289"/>
      <c r="CD27" s="292"/>
      <c r="CE27" s="293"/>
    </row>
    <row r="28" spans="1:98" ht="15.75" customHeight="1" x14ac:dyDescent="0.25">
      <c r="D28" s="18">
        <v>15</v>
      </c>
      <c r="AB28" s="120">
        <v>1</v>
      </c>
      <c r="AC28" s="120">
        <v>2</v>
      </c>
      <c r="AD28" s="120">
        <v>3</v>
      </c>
      <c r="AE28" s="120">
        <v>4</v>
      </c>
      <c r="AF28" s="120">
        <v>5</v>
      </c>
      <c r="AG28" s="120">
        <v>6</v>
      </c>
      <c r="AH28" s="120">
        <v>7</v>
      </c>
      <c r="AI28" s="120">
        <v>8</v>
      </c>
      <c r="AJ28" s="120">
        <v>9</v>
      </c>
      <c r="AK28" s="120">
        <v>10</v>
      </c>
      <c r="AL28" s="120">
        <v>11</v>
      </c>
      <c r="AM28" s="120">
        <v>12</v>
      </c>
      <c r="AN28" s="120">
        <v>13</v>
      </c>
      <c r="AO28" s="120">
        <v>14</v>
      </c>
      <c r="AP28" s="120">
        <v>15</v>
      </c>
      <c r="AQ28" s="120">
        <v>16</v>
      </c>
      <c r="AR28" s="120">
        <v>17</v>
      </c>
      <c r="AS28" s="120">
        <v>18</v>
      </c>
      <c r="AT28" s="120">
        <v>19</v>
      </c>
      <c r="AU28" s="120">
        <v>20</v>
      </c>
      <c r="AV28" s="120">
        <v>21</v>
      </c>
      <c r="AW28" s="120">
        <v>22</v>
      </c>
      <c r="AX28" s="120">
        <v>23</v>
      </c>
      <c r="AY28" s="120">
        <v>24</v>
      </c>
      <c r="AZ28" s="120">
        <v>25</v>
      </c>
      <c r="BA28" s="120">
        <v>26</v>
      </c>
      <c r="BB28" s="120">
        <v>27</v>
      </c>
      <c r="BC28" s="120">
        <v>28</v>
      </c>
      <c r="BD28" s="120" t="s">
        <v>671</v>
      </c>
      <c r="BQ28" s="121">
        <v>6</v>
      </c>
      <c r="BR28" s="121">
        <v>7</v>
      </c>
      <c r="BS28" s="121">
        <v>8</v>
      </c>
      <c r="BT28" s="121">
        <v>9</v>
      </c>
      <c r="BU28" s="121">
        <v>13</v>
      </c>
      <c r="BV28" s="121">
        <v>14</v>
      </c>
      <c r="BW28" s="121">
        <v>15</v>
      </c>
      <c r="BX28" s="121">
        <v>16</v>
      </c>
      <c r="BY28" s="121">
        <v>17</v>
      </c>
      <c r="BZ28" s="121">
        <v>18</v>
      </c>
      <c r="CA28" s="121">
        <v>19</v>
      </c>
      <c r="CB28" s="121">
        <v>20</v>
      </c>
      <c r="CC28" s="121">
        <v>21</v>
      </c>
      <c r="CD28" s="121">
        <v>27</v>
      </c>
      <c r="CE28" s="121" t="s">
        <v>671</v>
      </c>
    </row>
    <row r="29" spans="1:98" ht="15" hidden="1" customHeight="1" x14ac:dyDescent="0.25">
      <c r="A29" s="40" t="s">
        <v>672</v>
      </c>
      <c r="B29" s="40" t="b">
        <f>AB29&lt;&gt;"1.0"</f>
        <v>0</v>
      </c>
      <c r="D29" s="40">
        <v>15</v>
      </c>
      <c r="AA29" s="45" t="s">
        <v>147</v>
      </c>
      <c r="AB29" s="55" t="s">
        <v>673</v>
      </c>
      <c r="AC29" s="196"/>
      <c r="AD29" s="197"/>
      <c r="AE29" s="196"/>
      <c r="AF29" s="198"/>
      <c r="AG29" s="199"/>
      <c r="AH29" s="199"/>
      <c r="AI29" s="200"/>
      <c r="AJ29" s="201"/>
      <c r="AK29" s="196"/>
      <c r="AL29" s="196"/>
      <c r="AM29" s="196"/>
      <c r="AN29" s="74">
        <f t="shared" ref="AN29:AN76" si="1">AO29+AP29+AQ29+AV29</f>
        <v>0</v>
      </c>
      <c r="AO29" s="202"/>
      <c r="AP29" s="202"/>
      <c r="AQ29" s="202"/>
      <c r="AR29" s="202"/>
      <c r="AS29" s="202"/>
      <c r="AT29" s="202"/>
      <c r="AU29" s="74">
        <f t="shared" ref="AU29:AU76" si="2">AN29-AR29-AS29-AT29-AV29</f>
        <v>0</v>
      </c>
      <c r="AV29" s="202"/>
      <c r="AW29" s="203"/>
      <c r="AX29" s="196"/>
      <c r="AY29" s="204"/>
      <c r="AZ29" s="204"/>
      <c r="BA29" s="204"/>
      <c r="BB29" s="202"/>
      <c r="BC29" s="204"/>
      <c r="BD29" s="204"/>
      <c r="BE29" s="129">
        <f t="shared" ref="BE29:BE76" si="3">IF(AND(AI29="В",BB29="1"),SUMPRODUCT(AN29,AJ29),0)</f>
        <v>0</v>
      </c>
      <c r="BF29" s="129">
        <f t="shared" ref="BF29:BF76" si="4">IF(AND(AI29="В",BB29="1"),AN29,0)</f>
        <v>0</v>
      </c>
      <c r="BG29" s="129">
        <f t="shared" ref="BG29:BG76" si="5">IF(AI29="П",SUMPRODUCT(AN29,AJ29),0)</f>
        <v>0</v>
      </c>
      <c r="BH29" s="129">
        <f t="shared" ref="BH29:BH76" si="6">IF(AI29="П",AN29,0)</f>
        <v>0</v>
      </c>
      <c r="BI29" s="129">
        <f t="shared" ref="BI29:BI76" si="7">IF(AI29="П",SUMPRODUCT(AR29,AJ29),0)</f>
        <v>0</v>
      </c>
      <c r="BJ29" s="129">
        <f t="shared" ref="BJ29:BJ76" si="8">IF(AI29="П",AR29,0)</f>
        <v>0</v>
      </c>
      <c r="BK29" s="129">
        <f t="shared" ref="BK29:BK76" si="9">IF(AI29="П",SUMPRODUCT(AS29,AJ29),0)</f>
        <v>0</v>
      </c>
      <c r="BL29" s="129">
        <f t="shared" ref="BL29:BL76" si="10">IF(AI29="П",AS29,0)</f>
        <v>0</v>
      </c>
      <c r="BM29" s="129">
        <f t="shared" ref="BM29:BM76" si="11">IF(AI29="П",SUMPRODUCT(AT29,AJ29),0)</f>
        <v>0</v>
      </c>
      <c r="BN29" s="129">
        <f t="shared" ref="BN29:BN76" si="12">IF(AI29="П",AT29,0)</f>
        <v>0</v>
      </c>
      <c r="BO29" s="129">
        <f t="shared" ref="BO29:BO76" si="13">IF(AI29="П",SUMPRODUCT(AU29,AJ29),0)</f>
        <v>0</v>
      </c>
      <c r="BP29" s="129">
        <f t="shared" ref="BP29:BP76" si="14">IF(AI29="П",AU29,0)</f>
        <v>0</v>
      </c>
      <c r="BQ29" s="205">
        <f t="shared" ref="BQ29:BQ76" si="15">AG29</f>
        <v>0</v>
      </c>
      <c r="BR29" s="205">
        <f t="shared" ref="BR29:BR76" si="16">AH29</f>
        <v>0</v>
      </c>
      <c r="BS29" s="206">
        <f t="shared" ref="BS29:BS76" si="17">AI29</f>
        <v>0</v>
      </c>
      <c r="BT29" s="207">
        <f t="shared" ref="BT29:BT76" si="18">AJ29</f>
        <v>0</v>
      </c>
      <c r="BU29" s="74">
        <f t="shared" ref="BU29:BU76" si="19">BV29+BW29+BX29+CC29</f>
        <v>0</v>
      </c>
      <c r="BV29" s="195">
        <f t="shared" ref="BV29:BV76" si="20">AO29</f>
        <v>0</v>
      </c>
      <c r="BW29" s="195">
        <f t="shared" ref="BW29:BW76" si="21">AP29</f>
        <v>0</v>
      </c>
      <c r="BX29" s="195">
        <f t="shared" ref="BX29:BX76" si="22">AQ29</f>
        <v>0</v>
      </c>
      <c r="BY29" s="195">
        <f t="shared" ref="BY29:BY76" si="23">AR29</f>
        <v>0</v>
      </c>
      <c r="BZ29" s="195">
        <f t="shared" ref="BZ29:BZ76" si="24">AS29</f>
        <v>0</v>
      </c>
      <c r="CA29" s="195">
        <f t="shared" ref="CA29:CA76" si="25">AT29</f>
        <v>0</v>
      </c>
      <c r="CB29" s="74">
        <f t="shared" ref="CB29:CB76" si="26">BU29-BY29-BZ29-CA29-CC29</f>
        <v>0</v>
      </c>
      <c r="CC29" s="195">
        <f t="shared" ref="CC29:CC76" si="27">AV29</f>
        <v>0</v>
      </c>
      <c r="CD29" s="195">
        <f t="shared" ref="CD29:CD76" si="28">BB29</f>
        <v>0</v>
      </c>
      <c r="CE29" s="206"/>
      <c r="CF29" s="87">
        <f t="shared" ref="CF29:CF76" si="29">IF(AND(BS29="В",CD29="1"),SUMPRODUCT(BT29,BU29),0)</f>
        <v>0</v>
      </c>
      <c r="CG29" s="87">
        <f t="shared" ref="CG29:CG76" si="30">IF(AND(BS29="В",CD29="1"),BU29,0)</f>
        <v>0</v>
      </c>
      <c r="CH29" s="87">
        <f t="shared" ref="CH29:CH76" si="31">IF(BS29="П",SUMPRODUCT(BT29,BU29),0)</f>
        <v>0</v>
      </c>
      <c r="CI29" s="87">
        <f t="shared" ref="CI29:CI76" si="32">IF(BS29="П",BU29,0)</f>
        <v>0</v>
      </c>
      <c r="CJ29" s="87">
        <f t="shared" ref="CJ29:CJ76" si="33">IF(BS29="П",SUMPRODUCT(BT29,BY29),0)</f>
        <v>0</v>
      </c>
      <c r="CK29" s="87">
        <f t="shared" ref="CK29:CK76" si="34">IF(BS29="П",BY29,0)</f>
        <v>0</v>
      </c>
      <c r="CL29" s="87">
        <f t="shared" ref="CL29:CL76" si="35">IF(BS29="П",SUMPRODUCT(BT29,BZ29),0)</f>
        <v>0</v>
      </c>
      <c r="CM29" s="87">
        <f t="shared" ref="CM29:CM76" si="36">IF(BS29="П",BZ29,0)</f>
        <v>0</v>
      </c>
      <c r="CN29" s="87">
        <f t="shared" ref="CN29:CN76" si="37">IF(BS29="П",SUMPRODUCT(BT29,CA29),0)</f>
        <v>0</v>
      </c>
      <c r="CO29" s="87">
        <f t="shared" ref="CO29:CO76" si="38">IF(BS29="П",CA29,0)</f>
        <v>0</v>
      </c>
      <c r="CP29" s="87">
        <f t="shared" ref="CP29:CP76" si="39">IF(BS29="П",SUMPRODUCT(BT29,CB29),0)</f>
        <v>0</v>
      </c>
      <c r="CQ29" s="87">
        <f t="shared" ref="CQ29:CQ76" si="40">IF(BS29="П",CB29,0)</f>
        <v>0</v>
      </c>
      <c r="CR29" s="252"/>
    </row>
    <row r="30" spans="1:98" ht="32.25" customHeight="1" x14ac:dyDescent="0.25">
      <c r="A30" s="208" t="s">
        <v>672</v>
      </c>
      <c r="B30" s="208"/>
      <c r="C30" s="209"/>
      <c r="D30" s="208">
        <v>15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10" t="s">
        <v>147</v>
      </c>
      <c r="AB30" s="211" t="s">
        <v>149</v>
      </c>
      <c r="AC30" s="122" t="s">
        <v>674</v>
      </c>
      <c r="AD30" s="123" t="s">
        <v>44</v>
      </c>
      <c r="AE30" s="122" t="s">
        <v>675</v>
      </c>
      <c r="AF30" s="124" t="s">
        <v>676</v>
      </c>
      <c r="AG30" s="24" t="s">
        <v>677</v>
      </c>
      <c r="AH30" s="24" t="s">
        <v>678</v>
      </c>
      <c r="AI30" s="125" t="s">
        <v>68</v>
      </c>
      <c r="AJ30" s="126">
        <v>1.42</v>
      </c>
      <c r="AK30" s="122" t="s">
        <v>44</v>
      </c>
      <c r="AL30" s="122" t="s">
        <v>46</v>
      </c>
      <c r="AM30" s="122" t="s">
        <v>46</v>
      </c>
      <c r="AN30" s="212">
        <f t="shared" si="1"/>
        <v>8</v>
      </c>
      <c r="AO30" s="114">
        <v>0</v>
      </c>
      <c r="AP30" s="114">
        <v>0</v>
      </c>
      <c r="AQ30" s="114">
        <v>8</v>
      </c>
      <c r="AR30" s="114">
        <v>0</v>
      </c>
      <c r="AS30" s="114">
        <v>0</v>
      </c>
      <c r="AT30" s="114">
        <v>8</v>
      </c>
      <c r="AU30" s="212">
        <f t="shared" si="2"/>
        <v>0</v>
      </c>
      <c r="AV30" s="114">
        <v>0</v>
      </c>
      <c r="AW30" s="127">
        <v>970</v>
      </c>
      <c r="AX30" s="122" t="s">
        <v>679</v>
      </c>
      <c r="AY30" s="128" t="s">
        <v>680</v>
      </c>
      <c r="AZ30" s="128" t="s">
        <v>116</v>
      </c>
      <c r="BA30" s="128" t="s">
        <v>681</v>
      </c>
      <c r="BB30" s="114">
        <v>0</v>
      </c>
      <c r="BC30" s="204"/>
      <c r="BD30" s="204"/>
      <c r="BE30" s="213">
        <f t="shared" si="3"/>
        <v>0</v>
      </c>
      <c r="BF30" s="213">
        <f t="shared" si="4"/>
        <v>0</v>
      </c>
      <c r="BG30" s="213">
        <f t="shared" si="5"/>
        <v>0</v>
      </c>
      <c r="BH30" s="213">
        <f t="shared" si="6"/>
        <v>0</v>
      </c>
      <c r="BI30" s="213">
        <f t="shared" si="7"/>
        <v>0</v>
      </c>
      <c r="BJ30" s="213">
        <f t="shared" si="8"/>
        <v>0</v>
      </c>
      <c r="BK30" s="213">
        <f t="shared" si="9"/>
        <v>0</v>
      </c>
      <c r="BL30" s="213">
        <f t="shared" si="10"/>
        <v>0</v>
      </c>
      <c r="BM30" s="213">
        <f t="shared" si="11"/>
        <v>0</v>
      </c>
      <c r="BN30" s="213">
        <f t="shared" si="12"/>
        <v>0</v>
      </c>
      <c r="BO30" s="213">
        <f t="shared" si="13"/>
        <v>0</v>
      </c>
      <c r="BP30" s="213">
        <f t="shared" si="14"/>
        <v>0</v>
      </c>
      <c r="BQ30" s="205" t="str">
        <f t="shared" si="15"/>
        <v>14,45 2023.01.28</v>
      </c>
      <c r="BR30" s="205" t="str">
        <f t="shared" si="16"/>
        <v xml:space="preserve">16,10 2023.01.28 </v>
      </c>
      <c r="BS30" s="206" t="str">
        <f t="shared" si="17"/>
        <v>В</v>
      </c>
      <c r="BT30" s="207">
        <f t="shared" si="18"/>
        <v>1.42</v>
      </c>
      <c r="BU30" s="212">
        <f t="shared" si="19"/>
        <v>8</v>
      </c>
      <c r="BV30" s="195">
        <f t="shared" si="20"/>
        <v>0</v>
      </c>
      <c r="BW30" s="195">
        <f t="shared" si="21"/>
        <v>0</v>
      </c>
      <c r="BX30" s="195">
        <f t="shared" si="22"/>
        <v>8</v>
      </c>
      <c r="BY30" s="195">
        <f t="shared" si="23"/>
        <v>0</v>
      </c>
      <c r="BZ30" s="195">
        <f t="shared" si="24"/>
        <v>0</v>
      </c>
      <c r="CA30" s="195">
        <f t="shared" si="25"/>
        <v>8</v>
      </c>
      <c r="CB30" s="212">
        <f t="shared" si="26"/>
        <v>0</v>
      </c>
      <c r="CC30" s="195">
        <f t="shared" si="27"/>
        <v>0</v>
      </c>
      <c r="CD30" s="214">
        <f t="shared" si="28"/>
        <v>0</v>
      </c>
      <c r="CE30" s="206"/>
      <c r="CF30" s="215">
        <f t="shared" si="29"/>
        <v>0</v>
      </c>
      <c r="CG30" s="215">
        <f t="shared" si="30"/>
        <v>0</v>
      </c>
      <c r="CH30" s="215">
        <f t="shared" si="31"/>
        <v>0</v>
      </c>
      <c r="CI30" s="215">
        <f t="shared" si="32"/>
        <v>0</v>
      </c>
      <c r="CJ30" s="215">
        <f t="shared" si="33"/>
        <v>0</v>
      </c>
      <c r="CK30" s="215">
        <f t="shared" si="34"/>
        <v>0</v>
      </c>
      <c r="CL30" s="215">
        <f t="shared" si="35"/>
        <v>0</v>
      </c>
      <c r="CM30" s="215">
        <f t="shared" si="36"/>
        <v>0</v>
      </c>
      <c r="CN30" s="215">
        <f t="shared" si="37"/>
        <v>0</v>
      </c>
      <c r="CO30" s="215">
        <f t="shared" si="38"/>
        <v>0</v>
      </c>
      <c r="CP30" s="215">
        <f t="shared" si="39"/>
        <v>0</v>
      </c>
      <c r="CQ30" s="215">
        <f t="shared" si="40"/>
        <v>0</v>
      </c>
      <c r="CR30" s="299"/>
      <c r="CS30" s="209"/>
      <c r="CT30" s="209"/>
    </row>
    <row r="31" spans="1:98" s="216" customFormat="1" ht="32.25" customHeight="1" x14ac:dyDescent="0.25">
      <c r="A31" s="208" t="s">
        <v>672</v>
      </c>
      <c r="B31" s="208"/>
      <c r="C31" s="217"/>
      <c r="D31" s="208">
        <v>15</v>
      </c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0" t="s">
        <v>147</v>
      </c>
      <c r="AB31" s="211" t="s">
        <v>513</v>
      </c>
      <c r="AC31" s="122" t="s">
        <v>674</v>
      </c>
      <c r="AD31" s="123" t="s">
        <v>44</v>
      </c>
      <c r="AE31" s="122" t="s">
        <v>682</v>
      </c>
      <c r="AF31" s="124" t="s">
        <v>676</v>
      </c>
      <c r="AG31" s="24" t="s">
        <v>677</v>
      </c>
      <c r="AH31" s="24" t="s">
        <v>678</v>
      </c>
      <c r="AI31" s="125" t="s">
        <v>68</v>
      </c>
      <c r="AJ31" s="126">
        <v>1.42</v>
      </c>
      <c r="AK31" s="122" t="s">
        <v>44</v>
      </c>
      <c r="AL31" s="122" t="s">
        <v>46</v>
      </c>
      <c r="AM31" s="122" t="s">
        <v>46</v>
      </c>
      <c r="AN31" s="212">
        <f t="shared" si="1"/>
        <v>12</v>
      </c>
      <c r="AO31" s="114">
        <v>0</v>
      </c>
      <c r="AP31" s="114">
        <v>0</v>
      </c>
      <c r="AQ31" s="114">
        <v>12</v>
      </c>
      <c r="AR31" s="114">
        <v>0</v>
      </c>
      <c r="AS31" s="114">
        <v>0</v>
      </c>
      <c r="AT31" s="114">
        <v>12</v>
      </c>
      <c r="AU31" s="212">
        <f t="shared" si="2"/>
        <v>0</v>
      </c>
      <c r="AV31" s="114">
        <v>0</v>
      </c>
      <c r="AW31" s="127">
        <v>1320</v>
      </c>
      <c r="AX31" s="122" t="s">
        <v>679</v>
      </c>
      <c r="AY31" s="128" t="s">
        <v>683</v>
      </c>
      <c r="AZ31" s="128" t="s">
        <v>126</v>
      </c>
      <c r="BA31" s="128" t="s">
        <v>684</v>
      </c>
      <c r="BB31" s="114">
        <v>1</v>
      </c>
      <c r="BC31" s="204"/>
      <c r="BD31" s="204"/>
      <c r="BE31" s="213">
        <f t="shared" si="3"/>
        <v>0</v>
      </c>
      <c r="BF31" s="213">
        <f t="shared" si="4"/>
        <v>0</v>
      </c>
      <c r="BG31" s="213">
        <f t="shared" si="5"/>
        <v>0</v>
      </c>
      <c r="BH31" s="213">
        <f t="shared" si="6"/>
        <v>0</v>
      </c>
      <c r="BI31" s="213">
        <f t="shared" si="7"/>
        <v>0</v>
      </c>
      <c r="BJ31" s="213">
        <f t="shared" si="8"/>
        <v>0</v>
      </c>
      <c r="BK31" s="213">
        <f t="shared" si="9"/>
        <v>0</v>
      </c>
      <c r="BL31" s="213">
        <f t="shared" si="10"/>
        <v>0</v>
      </c>
      <c r="BM31" s="213">
        <f t="shared" si="11"/>
        <v>0</v>
      </c>
      <c r="BN31" s="213">
        <f t="shared" si="12"/>
        <v>0</v>
      </c>
      <c r="BO31" s="213">
        <f t="shared" si="13"/>
        <v>0</v>
      </c>
      <c r="BP31" s="213">
        <f t="shared" si="14"/>
        <v>0</v>
      </c>
      <c r="BQ31" s="205" t="str">
        <f t="shared" si="15"/>
        <v>14,45 2023.01.28</v>
      </c>
      <c r="BR31" s="205" t="str">
        <f t="shared" si="16"/>
        <v xml:space="preserve">16,10 2023.01.28 </v>
      </c>
      <c r="BS31" s="206" t="str">
        <f t="shared" si="17"/>
        <v>В</v>
      </c>
      <c r="BT31" s="207">
        <f t="shared" si="18"/>
        <v>1.42</v>
      </c>
      <c r="BU31" s="212">
        <f t="shared" si="19"/>
        <v>12</v>
      </c>
      <c r="BV31" s="195">
        <f t="shared" si="20"/>
        <v>0</v>
      </c>
      <c r="BW31" s="195">
        <f t="shared" si="21"/>
        <v>0</v>
      </c>
      <c r="BX31" s="195">
        <f t="shared" si="22"/>
        <v>12</v>
      </c>
      <c r="BY31" s="195">
        <f t="shared" si="23"/>
        <v>0</v>
      </c>
      <c r="BZ31" s="195">
        <f t="shared" si="24"/>
        <v>0</v>
      </c>
      <c r="CA31" s="195">
        <f t="shared" si="25"/>
        <v>12</v>
      </c>
      <c r="CB31" s="212">
        <f t="shared" si="26"/>
        <v>0</v>
      </c>
      <c r="CC31" s="195">
        <f t="shared" si="27"/>
        <v>0</v>
      </c>
      <c r="CD31" s="214">
        <f t="shared" si="28"/>
        <v>1</v>
      </c>
      <c r="CE31" s="206"/>
      <c r="CF31" s="215">
        <f t="shared" si="29"/>
        <v>0</v>
      </c>
      <c r="CG31" s="215">
        <f t="shared" si="30"/>
        <v>0</v>
      </c>
      <c r="CH31" s="215">
        <f t="shared" si="31"/>
        <v>0</v>
      </c>
      <c r="CI31" s="215">
        <f t="shared" si="32"/>
        <v>0</v>
      </c>
      <c r="CJ31" s="215">
        <f t="shared" si="33"/>
        <v>0</v>
      </c>
      <c r="CK31" s="215">
        <f t="shared" si="34"/>
        <v>0</v>
      </c>
      <c r="CL31" s="215">
        <f t="shared" si="35"/>
        <v>0</v>
      </c>
      <c r="CM31" s="215">
        <f t="shared" si="36"/>
        <v>0</v>
      </c>
      <c r="CN31" s="215">
        <f t="shared" si="37"/>
        <v>0</v>
      </c>
      <c r="CO31" s="215">
        <f t="shared" si="38"/>
        <v>0</v>
      </c>
      <c r="CP31" s="215">
        <f t="shared" si="39"/>
        <v>0</v>
      </c>
      <c r="CQ31" s="215">
        <f t="shared" si="40"/>
        <v>0</v>
      </c>
      <c r="CR31" s="300"/>
      <c r="CS31" s="217"/>
      <c r="CT31" s="217"/>
    </row>
    <row r="32" spans="1:98" s="217" customFormat="1" ht="32.25" customHeight="1" x14ac:dyDescent="0.25">
      <c r="A32" s="208" t="s">
        <v>672</v>
      </c>
      <c r="B32" s="208"/>
      <c r="D32" s="208">
        <v>15</v>
      </c>
      <c r="AA32" s="210" t="s">
        <v>147</v>
      </c>
      <c r="AB32" s="211" t="s">
        <v>557</v>
      </c>
      <c r="AC32" s="122" t="s">
        <v>674</v>
      </c>
      <c r="AD32" s="123" t="s">
        <v>44</v>
      </c>
      <c r="AE32" s="122" t="s">
        <v>685</v>
      </c>
      <c r="AF32" s="124" t="s">
        <v>676</v>
      </c>
      <c r="AG32" s="24" t="s">
        <v>686</v>
      </c>
      <c r="AH32" s="24" t="s">
        <v>687</v>
      </c>
      <c r="AI32" s="125" t="s">
        <v>68</v>
      </c>
      <c r="AJ32" s="126">
        <v>1.67</v>
      </c>
      <c r="AK32" s="122" t="s">
        <v>44</v>
      </c>
      <c r="AL32" s="122" t="s">
        <v>46</v>
      </c>
      <c r="AM32" s="122" t="s">
        <v>46</v>
      </c>
      <c r="AN32" s="212">
        <f t="shared" si="1"/>
        <v>5</v>
      </c>
      <c r="AO32" s="114">
        <v>0</v>
      </c>
      <c r="AP32" s="114">
        <v>0</v>
      </c>
      <c r="AQ32" s="114">
        <v>5</v>
      </c>
      <c r="AR32" s="114">
        <v>0</v>
      </c>
      <c r="AS32" s="114">
        <v>0</v>
      </c>
      <c r="AT32" s="114">
        <v>5</v>
      </c>
      <c r="AU32" s="212">
        <f t="shared" si="2"/>
        <v>0</v>
      </c>
      <c r="AV32" s="114">
        <v>0</v>
      </c>
      <c r="AW32" s="127">
        <v>570</v>
      </c>
      <c r="AX32" s="122" t="s">
        <v>679</v>
      </c>
      <c r="AY32" s="128" t="s">
        <v>688</v>
      </c>
      <c r="AZ32" s="128" t="s">
        <v>126</v>
      </c>
      <c r="BA32" s="128" t="s">
        <v>567</v>
      </c>
      <c r="BB32" s="114">
        <v>1</v>
      </c>
      <c r="BC32" s="204"/>
      <c r="BD32" s="204"/>
      <c r="BE32" s="213">
        <f t="shared" si="3"/>
        <v>0</v>
      </c>
      <c r="BF32" s="213">
        <f t="shared" si="4"/>
        <v>0</v>
      </c>
      <c r="BG32" s="213">
        <f t="shared" si="5"/>
        <v>0</v>
      </c>
      <c r="BH32" s="213">
        <f t="shared" si="6"/>
        <v>0</v>
      </c>
      <c r="BI32" s="213">
        <f t="shared" si="7"/>
        <v>0</v>
      </c>
      <c r="BJ32" s="213">
        <f t="shared" si="8"/>
        <v>0</v>
      </c>
      <c r="BK32" s="213">
        <f t="shared" si="9"/>
        <v>0</v>
      </c>
      <c r="BL32" s="213">
        <f t="shared" si="10"/>
        <v>0</v>
      </c>
      <c r="BM32" s="213">
        <f t="shared" si="11"/>
        <v>0</v>
      </c>
      <c r="BN32" s="213">
        <f t="shared" si="12"/>
        <v>0</v>
      </c>
      <c r="BO32" s="213">
        <f t="shared" si="13"/>
        <v>0</v>
      </c>
      <c r="BP32" s="213">
        <f t="shared" si="14"/>
        <v>0</v>
      </c>
      <c r="BQ32" s="205" t="str">
        <f t="shared" si="15"/>
        <v>10,20 2023.02.07</v>
      </c>
      <c r="BR32" s="205" t="str">
        <f t="shared" si="16"/>
        <v>12,00 2023.02.07</v>
      </c>
      <c r="BS32" s="206" t="str">
        <f t="shared" si="17"/>
        <v>В</v>
      </c>
      <c r="BT32" s="207">
        <f t="shared" si="18"/>
        <v>1.67</v>
      </c>
      <c r="BU32" s="212">
        <f t="shared" si="19"/>
        <v>5</v>
      </c>
      <c r="BV32" s="195">
        <f t="shared" si="20"/>
        <v>0</v>
      </c>
      <c r="BW32" s="195">
        <f t="shared" si="21"/>
        <v>0</v>
      </c>
      <c r="BX32" s="195">
        <f t="shared" si="22"/>
        <v>5</v>
      </c>
      <c r="BY32" s="195">
        <f t="shared" si="23"/>
        <v>0</v>
      </c>
      <c r="BZ32" s="195">
        <f t="shared" si="24"/>
        <v>0</v>
      </c>
      <c r="CA32" s="195">
        <f t="shared" si="25"/>
        <v>5</v>
      </c>
      <c r="CB32" s="212">
        <f t="shared" si="26"/>
        <v>0</v>
      </c>
      <c r="CC32" s="195">
        <f t="shared" si="27"/>
        <v>0</v>
      </c>
      <c r="CD32" s="214">
        <f t="shared" si="28"/>
        <v>1</v>
      </c>
      <c r="CE32" s="206"/>
      <c r="CF32" s="215">
        <f t="shared" si="29"/>
        <v>0</v>
      </c>
      <c r="CG32" s="215">
        <f t="shared" si="30"/>
        <v>0</v>
      </c>
      <c r="CH32" s="215">
        <f t="shared" si="31"/>
        <v>0</v>
      </c>
      <c r="CI32" s="215">
        <f t="shared" si="32"/>
        <v>0</v>
      </c>
      <c r="CJ32" s="215">
        <f t="shared" si="33"/>
        <v>0</v>
      </c>
      <c r="CK32" s="215">
        <f t="shared" si="34"/>
        <v>0</v>
      </c>
      <c r="CL32" s="215">
        <f t="shared" si="35"/>
        <v>0</v>
      </c>
      <c r="CM32" s="215">
        <f t="shared" si="36"/>
        <v>0</v>
      </c>
      <c r="CN32" s="215">
        <f t="shared" si="37"/>
        <v>0</v>
      </c>
      <c r="CO32" s="215">
        <f t="shared" si="38"/>
        <v>0</v>
      </c>
      <c r="CP32" s="215">
        <f t="shared" si="39"/>
        <v>0</v>
      </c>
      <c r="CQ32" s="215">
        <f t="shared" si="40"/>
        <v>0</v>
      </c>
      <c r="CR32" s="300"/>
    </row>
    <row r="33" spans="1:96" s="217" customFormat="1" ht="32.25" customHeight="1" x14ac:dyDescent="0.25">
      <c r="A33" s="208" t="s">
        <v>672</v>
      </c>
      <c r="B33" s="208"/>
      <c r="D33" s="208">
        <v>15</v>
      </c>
      <c r="AA33" s="210" t="s">
        <v>147</v>
      </c>
      <c r="AB33" s="211" t="s">
        <v>609</v>
      </c>
      <c r="AC33" s="122" t="s">
        <v>674</v>
      </c>
      <c r="AD33" s="123" t="s">
        <v>44</v>
      </c>
      <c r="AE33" s="122" t="s">
        <v>689</v>
      </c>
      <c r="AF33" s="124" t="s">
        <v>676</v>
      </c>
      <c r="AG33" s="24" t="s">
        <v>686</v>
      </c>
      <c r="AH33" s="24" t="s">
        <v>690</v>
      </c>
      <c r="AI33" s="125" t="s">
        <v>68</v>
      </c>
      <c r="AJ33" s="126">
        <v>1.33</v>
      </c>
      <c r="AK33" s="122" t="s">
        <v>76</v>
      </c>
      <c r="AL33" s="122" t="s">
        <v>46</v>
      </c>
      <c r="AM33" s="122" t="s">
        <v>46</v>
      </c>
      <c r="AN33" s="212">
        <f t="shared" si="1"/>
        <v>9</v>
      </c>
      <c r="AO33" s="114">
        <v>0</v>
      </c>
      <c r="AP33" s="114">
        <v>0</v>
      </c>
      <c r="AQ33" s="114">
        <v>9</v>
      </c>
      <c r="AR33" s="114">
        <v>0</v>
      </c>
      <c r="AS33" s="114">
        <v>0</v>
      </c>
      <c r="AT33" s="114">
        <v>9</v>
      </c>
      <c r="AU33" s="212">
        <f t="shared" si="2"/>
        <v>0</v>
      </c>
      <c r="AV33" s="114">
        <v>0</v>
      </c>
      <c r="AW33" s="127">
        <v>1150</v>
      </c>
      <c r="AX33" s="122" t="s">
        <v>679</v>
      </c>
      <c r="AY33" s="128" t="s">
        <v>691</v>
      </c>
      <c r="AZ33" s="128" t="s">
        <v>126</v>
      </c>
      <c r="BA33" s="128" t="s">
        <v>567</v>
      </c>
      <c r="BB33" s="114">
        <v>1</v>
      </c>
      <c r="BC33" s="204"/>
      <c r="BD33" s="204"/>
      <c r="BE33" s="213">
        <f t="shared" si="3"/>
        <v>0</v>
      </c>
      <c r="BF33" s="213">
        <f t="shared" si="4"/>
        <v>0</v>
      </c>
      <c r="BG33" s="213">
        <f t="shared" si="5"/>
        <v>0</v>
      </c>
      <c r="BH33" s="213">
        <f t="shared" si="6"/>
        <v>0</v>
      </c>
      <c r="BI33" s="213">
        <f t="shared" si="7"/>
        <v>0</v>
      </c>
      <c r="BJ33" s="213">
        <f t="shared" si="8"/>
        <v>0</v>
      </c>
      <c r="BK33" s="213">
        <f t="shared" si="9"/>
        <v>0</v>
      </c>
      <c r="BL33" s="213">
        <f t="shared" si="10"/>
        <v>0</v>
      </c>
      <c r="BM33" s="213">
        <f t="shared" si="11"/>
        <v>0</v>
      </c>
      <c r="BN33" s="213">
        <f t="shared" si="12"/>
        <v>0</v>
      </c>
      <c r="BO33" s="213">
        <f t="shared" si="13"/>
        <v>0</v>
      </c>
      <c r="BP33" s="213">
        <f t="shared" si="14"/>
        <v>0</v>
      </c>
      <c r="BQ33" s="205" t="str">
        <f t="shared" si="15"/>
        <v>10,20 2023.02.07</v>
      </c>
      <c r="BR33" s="205" t="str">
        <f t="shared" si="16"/>
        <v>11,40 2023.02.07</v>
      </c>
      <c r="BS33" s="206" t="str">
        <f t="shared" si="17"/>
        <v>В</v>
      </c>
      <c r="BT33" s="207">
        <f t="shared" si="18"/>
        <v>1.33</v>
      </c>
      <c r="BU33" s="212">
        <f t="shared" si="19"/>
        <v>9</v>
      </c>
      <c r="BV33" s="195">
        <f t="shared" si="20"/>
        <v>0</v>
      </c>
      <c r="BW33" s="195">
        <f t="shared" si="21"/>
        <v>0</v>
      </c>
      <c r="BX33" s="195">
        <f t="shared" si="22"/>
        <v>9</v>
      </c>
      <c r="BY33" s="195">
        <f t="shared" si="23"/>
        <v>0</v>
      </c>
      <c r="BZ33" s="195">
        <f t="shared" si="24"/>
        <v>0</v>
      </c>
      <c r="CA33" s="195">
        <f t="shared" si="25"/>
        <v>9</v>
      </c>
      <c r="CB33" s="212">
        <f t="shared" si="26"/>
        <v>0</v>
      </c>
      <c r="CC33" s="195">
        <f t="shared" si="27"/>
        <v>0</v>
      </c>
      <c r="CD33" s="214">
        <f t="shared" si="28"/>
        <v>1</v>
      </c>
      <c r="CE33" s="206"/>
      <c r="CF33" s="215">
        <f t="shared" si="29"/>
        <v>0</v>
      </c>
      <c r="CG33" s="215">
        <f t="shared" si="30"/>
        <v>0</v>
      </c>
      <c r="CH33" s="215">
        <f t="shared" si="31"/>
        <v>0</v>
      </c>
      <c r="CI33" s="215">
        <f t="shared" si="32"/>
        <v>0</v>
      </c>
      <c r="CJ33" s="215">
        <f t="shared" si="33"/>
        <v>0</v>
      </c>
      <c r="CK33" s="215">
        <f t="shared" si="34"/>
        <v>0</v>
      </c>
      <c r="CL33" s="215">
        <f t="shared" si="35"/>
        <v>0</v>
      </c>
      <c r="CM33" s="215">
        <f t="shared" si="36"/>
        <v>0</v>
      </c>
      <c r="CN33" s="215">
        <f t="shared" si="37"/>
        <v>0</v>
      </c>
      <c r="CO33" s="215">
        <f t="shared" si="38"/>
        <v>0</v>
      </c>
      <c r="CP33" s="215">
        <f t="shared" si="39"/>
        <v>0</v>
      </c>
      <c r="CQ33" s="215">
        <f t="shared" si="40"/>
        <v>0</v>
      </c>
      <c r="CR33" s="300"/>
    </row>
    <row r="34" spans="1:96" s="217" customFormat="1" ht="32.25" customHeight="1" x14ac:dyDescent="0.25">
      <c r="A34" s="208" t="s">
        <v>672</v>
      </c>
      <c r="B34" s="208"/>
      <c r="D34" s="208">
        <v>15</v>
      </c>
      <c r="AA34" s="210" t="s">
        <v>147</v>
      </c>
      <c r="AB34" s="211" t="s">
        <v>692</v>
      </c>
      <c r="AC34" s="122" t="s">
        <v>674</v>
      </c>
      <c r="AD34" s="123" t="s">
        <v>44</v>
      </c>
      <c r="AE34" s="122" t="s">
        <v>693</v>
      </c>
      <c r="AF34" s="124" t="s">
        <v>676</v>
      </c>
      <c r="AG34" s="24" t="s">
        <v>694</v>
      </c>
      <c r="AH34" s="24" t="s">
        <v>695</v>
      </c>
      <c r="AI34" s="125" t="s">
        <v>68</v>
      </c>
      <c r="AJ34" s="126">
        <v>0.42</v>
      </c>
      <c r="AK34" s="122" t="s">
        <v>44</v>
      </c>
      <c r="AL34" s="122" t="s">
        <v>46</v>
      </c>
      <c r="AM34" s="122" t="s">
        <v>46</v>
      </c>
      <c r="AN34" s="212">
        <f t="shared" si="1"/>
        <v>3</v>
      </c>
      <c r="AO34" s="114">
        <v>0</v>
      </c>
      <c r="AP34" s="114">
        <v>0</v>
      </c>
      <c r="AQ34" s="114">
        <v>3</v>
      </c>
      <c r="AR34" s="114">
        <v>0</v>
      </c>
      <c r="AS34" s="114">
        <v>0</v>
      </c>
      <c r="AT34" s="114">
        <v>0</v>
      </c>
      <c r="AU34" s="212">
        <f t="shared" si="2"/>
        <v>3</v>
      </c>
      <c r="AV34" s="114">
        <v>0</v>
      </c>
      <c r="AW34" s="127">
        <v>250</v>
      </c>
      <c r="AX34" s="122" t="s">
        <v>679</v>
      </c>
      <c r="AY34" s="128" t="s">
        <v>696</v>
      </c>
      <c r="AZ34" s="128" t="s">
        <v>126</v>
      </c>
      <c r="BA34" s="128" t="s">
        <v>684</v>
      </c>
      <c r="BB34" s="114">
        <v>1</v>
      </c>
      <c r="BC34" s="204"/>
      <c r="BD34" s="204"/>
      <c r="BE34" s="213">
        <f t="shared" si="3"/>
        <v>0</v>
      </c>
      <c r="BF34" s="213">
        <f t="shared" si="4"/>
        <v>0</v>
      </c>
      <c r="BG34" s="213">
        <f t="shared" si="5"/>
        <v>0</v>
      </c>
      <c r="BH34" s="213">
        <f t="shared" si="6"/>
        <v>0</v>
      </c>
      <c r="BI34" s="213">
        <f t="shared" si="7"/>
        <v>0</v>
      </c>
      <c r="BJ34" s="213">
        <f t="shared" si="8"/>
        <v>0</v>
      </c>
      <c r="BK34" s="213">
        <f t="shared" si="9"/>
        <v>0</v>
      </c>
      <c r="BL34" s="213">
        <f t="shared" si="10"/>
        <v>0</v>
      </c>
      <c r="BM34" s="213">
        <f t="shared" si="11"/>
        <v>0</v>
      </c>
      <c r="BN34" s="213">
        <f t="shared" si="12"/>
        <v>0</v>
      </c>
      <c r="BO34" s="213">
        <f t="shared" si="13"/>
        <v>0</v>
      </c>
      <c r="BP34" s="213">
        <f t="shared" si="14"/>
        <v>0</v>
      </c>
      <c r="BQ34" s="205" t="str">
        <f t="shared" si="15"/>
        <v>11,20 2023.02.17</v>
      </c>
      <c r="BR34" s="205" t="str">
        <f t="shared" si="16"/>
        <v>11,45 2023.02.17</v>
      </c>
      <c r="BS34" s="206" t="str">
        <f t="shared" si="17"/>
        <v>В</v>
      </c>
      <c r="BT34" s="207">
        <f t="shared" si="18"/>
        <v>0.42</v>
      </c>
      <c r="BU34" s="212">
        <f t="shared" si="19"/>
        <v>3</v>
      </c>
      <c r="BV34" s="195">
        <f t="shared" si="20"/>
        <v>0</v>
      </c>
      <c r="BW34" s="195">
        <f t="shared" si="21"/>
        <v>0</v>
      </c>
      <c r="BX34" s="195">
        <f t="shared" si="22"/>
        <v>3</v>
      </c>
      <c r="BY34" s="195">
        <f t="shared" si="23"/>
        <v>0</v>
      </c>
      <c r="BZ34" s="195">
        <f t="shared" si="24"/>
        <v>0</v>
      </c>
      <c r="CA34" s="195">
        <f t="shared" si="25"/>
        <v>0</v>
      </c>
      <c r="CB34" s="212">
        <f t="shared" si="26"/>
        <v>3</v>
      </c>
      <c r="CC34" s="195">
        <f t="shared" si="27"/>
        <v>0</v>
      </c>
      <c r="CD34" s="214">
        <f t="shared" si="28"/>
        <v>1</v>
      </c>
      <c r="CE34" s="206"/>
      <c r="CF34" s="215">
        <f t="shared" si="29"/>
        <v>0</v>
      </c>
      <c r="CG34" s="215">
        <f t="shared" si="30"/>
        <v>0</v>
      </c>
      <c r="CH34" s="215">
        <f t="shared" si="31"/>
        <v>0</v>
      </c>
      <c r="CI34" s="215">
        <f t="shared" si="32"/>
        <v>0</v>
      </c>
      <c r="CJ34" s="215">
        <f t="shared" si="33"/>
        <v>0</v>
      </c>
      <c r="CK34" s="215">
        <f t="shared" si="34"/>
        <v>0</v>
      </c>
      <c r="CL34" s="215">
        <f t="shared" si="35"/>
        <v>0</v>
      </c>
      <c r="CM34" s="215">
        <f t="shared" si="36"/>
        <v>0</v>
      </c>
      <c r="CN34" s="215">
        <f t="shared" si="37"/>
        <v>0</v>
      </c>
      <c r="CO34" s="215">
        <f t="shared" si="38"/>
        <v>0</v>
      </c>
      <c r="CP34" s="215">
        <f t="shared" si="39"/>
        <v>0</v>
      </c>
      <c r="CQ34" s="215">
        <f t="shared" si="40"/>
        <v>0</v>
      </c>
      <c r="CR34" s="300"/>
    </row>
    <row r="35" spans="1:96" s="217" customFormat="1" ht="32.25" customHeight="1" x14ac:dyDescent="0.25">
      <c r="A35" s="208" t="s">
        <v>672</v>
      </c>
      <c r="B35" s="208"/>
      <c r="D35" s="208">
        <v>15</v>
      </c>
      <c r="AA35" s="210" t="s">
        <v>147</v>
      </c>
      <c r="AB35" s="211" t="s">
        <v>697</v>
      </c>
      <c r="AC35" s="122" t="s">
        <v>674</v>
      </c>
      <c r="AD35" s="123" t="s">
        <v>44</v>
      </c>
      <c r="AE35" s="122" t="s">
        <v>698</v>
      </c>
      <c r="AF35" s="124" t="s">
        <v>676</v>
      </c>
      <c r="AG35" s="24" t="s">
        <v>699</v>
      </c>
      <c r="AH35" s="24" t="s">
        <v>700</v>
      </c>
      <c r="AI35" s="125" t="s">
        <v>68</v>
      </c>
      <c r="AJ35" s="126">
        <v>0.57999999999999996</v>
      </c>
      <c r="AK35" s="122" t="s">
        <v>76</v>
      </c>
      <c r="AL35" s="122" t="s">
        <v>46</v>
      </c>
      <c r="AM35" s="122" t="s">
        <v>46</v>
      </c>
      <c r="AN35" s="212">
        <f t="shared" si="1"/>
        <v>90</v>
      </c>
      <c r="AO35" s="114">
        <v>0</v>
      </c>
      <c r="AP35" s="114">
        <v>0</v>
      </c>
      <c r="AQ35" s="114">
        <v>90</v>
      </c>
      <c r="AR35" s="114">
        <v>0</v>
      </c>
      <c r="AS35" s="114">
        <v>0</v>
      </c>
      <c r="AT35" s="114">
        <v>5</v>
      </c>
      <c r="AU35" s="212">
        <f t="shared" si="2"/>
        <v>85</v>
      </c>
      <c r="AV35" s="114">
        <v>0</v>
      </c>
      <c r="AW35" s="127">
        <v>580</v>
      </c>
      <c r="AX35" s="122" t="s">
        <v>679</v>
      </c>
      <c r="AY35" s="128" t="s">
        <v>701</v>
      </c>
      <c r="AZ35" s="128" t="s">
        <v>126</v>
      </c>
      <c r="BA35" s="128" t="s">
        <v>681</v>
      </c>
      <c r="BB35" s="114">
        <v>0</v>
      </c>
      <c r="BC35" s="204"/>
      <c r="BD35" s="204"/>
      <c r="BE35" s="213">
        <f t="shared" si="3"/>
        <v>0</v>
      </c>
      <c r="BF35" s="213">
        <f t="shared" si="4"/>
        <v>0</v>
      </c>
      <c r="BG35" s="213">
        <f t="shared" si="5"/>
        <v>0</v>
      </c>
      <c r="BH35" s="213">
        <f t="shared" si="6"/>
        <v>0</v>
      </c>
      <c r="BI35" s="213">
        <f t="shared" si="7"/>
        <v>0</v>
      </c>
      <c r="BJ35" s="213">
        <f t="shared" si="8"/>
        <v>0</v>
      </c>
      <c r="BK35" s="213">
        <f t="shared" si="9"/>
        <v>0</v>
      </c>
      <c r="BL35" s="213">
        <f t="shared" si="10"/>
        <v>0</v>
      </c>
      <c r="BM35" s="213">
        <f t="shared" si="11"/>
        <v>0</v>
      </c>
      <c r="BN35" s="213">
        <f t="shared" si="12"/>
        <v>0</v>
      </c>
      <c r="BO35" s="213">
        <f t="shared" si="13"/>
        <v>0</v>
      </c>
      <c r="BP35" s="213">
        <f t="shared" si="14"/>
        <v>0</v>
      </c>
      <c r="BQ35" s="205" t="str">
        <f t="shared" si="15"/>
        <v>15,05 2023.02.28</v>
      </c>
      <c r="BR35" s="205" t="str">
        <f t="shared" si="16"/>
        <v>15,40 2023.02.28</v>
      </c>
      <c r="BS35" s="206" t="str">
        <f t="shared" si="17"/>
        <v>В</v>
      </c>
      <c r="BT35" s="207">
        <f t="shared" si="18"/>
        <v>0.57999999999999996</v>
      </c>
      <c r="BU35" s="212">
        <f t="shared" si="19"/>
        <v>90</v>
      </c>
      <c r="BV35" s="195">
        <f t="shared" si="20"/>
        <v>0</v>
      </c>
      <c r="BW35" s="195">
        <f t="shared" si="21"/>
        <v>0</v>
      </c>
      <c r="BX35" s="195">
        <f t="shared" si="22"/>
        <v>90</v>
      </c>
      <c r="BY35" s="195">
        <f t="shared" si="23"/>
        <v>0</v>
      </c>
      <c r="BZ35" s="195">
        <f t="shared" si="24"/>
        <v>0</v>
      </c>
      <c r="CA35" s="195">
        <f t="shared" si="25"/>
        <v>5</v>
      </c>
      <c r="CB35" s="212">
        <f t="shared" si="26"/>
        <v>85</v>
      </c>
      <c r="CC35" s="195">
        <f t="shared" si="27"/>
        <v>0</v>
      </c>
      <c r="CD35" s="214">
        <f t="shared" si="28"/>
        <v>0</v>
      </c>
      <c r="CE35" s="206"/>
      <c r="CF35" s="215">
        <f t="shared" si="29"/>
        <v>0</v>
      </c>
      <c r="CG35" s="215">
        <f t="shared" si="30"/>
        <v>0</v>
      </c>
      <c r="CH35" s="215">
        <f t="shared" si="31"/>
        <v>0</v>
      </c>
      <c r="CI35" s="215">
        <f t="shared" si="32"/>
        <v>0</v>
      </c>
      <c r="CJ35" s="215">
        <f t="shared" si="33"/>
        <v>0</v>
      </c>
      <c r="CK35" s="215">
        <f t="shared" si="34"/>
        <v>0</v>
      </c>
      <c r="CL35" s="215">
        <f t="shared" si="35"/>
        <v>0</v>
      </c>
      <c r="CM35" s="215">
        <f t="shared" si="36"/>
        <v>0</v>
      </c>
      <c r="CN35" s="215">
        <f t="shared" si="37"/>
        <v>0</v>
      </c>
      <c r="CO35" s="215">
        <f t="shared" si="38"/>
        <v>0</v>
      </c>
      <c r="CP35" s="215">
        <f t="shared" si="39"/>
        <v>0</v>
      </c>
      <c r="CQ35" s="215">
        <f t="shared" si="40"/>
        <v>0</v>
      </c>
      <c r="CR35" s="300"/>
    </row>
    <row r="36" spans="1:96" s="217" customFormat="1" ht="32.25" customHeight="1" x14ac:dyDescent="0.25">
      <c r="A36" s="208" t="s">
        <v>672</v>
      </c>
      <c r="B36" s="208"/>
      <c r="D36" s="208">
        <v>15</v>
      </c>
      <c r="AA36" s="210" t="s">
        <v>147</v>
      </c>
      <c r="AB36" s="211" t="s">
        <v>702</v>
      </c>
      <c r="AC36" s="122" t="s">
        <v>674</v>
      </c>
      <c r="AD36" s="123" t="s">
        <v>56</v>
      </c>
      <c r="AE36" s="122" t="s">
        <v>703</v>
      </c>
      <c r="AF36" s="124" t="s">
        <v>676</v>
      </c>
      <c r="AG36" s="24" t="s">
        <v>704</v>
      </c>
      <c r="AH36" s="24" t="s">
        <v>705</v>
      </c>
      <c r="AI36" s="125" t="s">
        <v>68</v>
      </c>
      <c r="AJ36" s="126">
        <v>0.67</v>
      </c>
      <c r="AK36" s="122" t="s">
        <v>56</v>
      </c>
      <c r="AL36" s="122" t="s">
        <v>46</v>
      </c>
      <c r="AM36" s="122" t="s">
        <v>46</v>
      </c>
      <c r="AN36" s="212">
        <f t="shared" si="1"/>
        <v>3</v>
      </c>
      <c r="AO36" s="114">
        <v>0</v>
      </c>
      <c r="AP36" s="114">
        <v>0</v>
      </c>
      <c r="AQ36" s="114">
        <v>3</v>
      </c>
      <c r="AR36" s="114">
        <v>0</v>
      </c>
      <c r="AS36" s="114">
        <v>0</v>
      </c>
      <c r="AT36" s="114">
        <v>3</v>
      </c>
      <c r="AU36" s="212">
        <f t="shared" si="2"/>
        <v>0</v>
      </c>
      <c r="AV36" s="114">
        <v>0</v>
      </c>
      <c r="AW36" s="127">
        <v>750</v>
      </c>
      <c r="AX36" s="122" t="s">
        <v>679</v>
      </c>
      <c r="AY36" s="128" t="s">
        <v>706</v>
      </c>
      <c r="AZ36" s="128" t="s">
        <v>126</v>
      </c>
      <c r="BA36" s="128" t="s">
        <v>681</v>
      </c>
      <c r="BB36" s="114">
        <v>0</v>
      </c>
      <c r="BC36" s="204"/>
      <c r="BD36" s="204"/>
      <c r="BE36" s="213">
        <f t="shared" si="3"/>
        <v>0</v>
      </c>
      <c r="BF36" s="213">
        <f t="shared" si="4"/>
        <v>0</v>
      </c>
      <c r="BG36" s="213">
        <f t="shared" si="5"/>
        <v>0</v>
      </c>
      <c r="BH36" s="213">
        <f t="shared" si="6"/>
        <v>0</v>
      </c>
      <c r="BI36" s="213">
        <f t="shared" si="7"/>
        <v>0</v>
      </c>
      <c r="BJ36" s="213">
        <f t="shared" si="8"/>
        <v>0</v>
      </c>
      <c r="BK36" s="213">
        <f t="shared" si="9"/>
        <v>0</v>
      </c>
      <c r="BL36" s="213">
        <f t="shared" si="10"/>
        <v>0</v>
      </c>
      <c r="BM36" s="213">
        <f t="shared" si="11"/>
        <v>0</v>
      </c>
      <c r="BN36" s="213">
        <f t="shared" si="12"/>
        <v>0</v>
      </c>
      <c r="BO36" s="213">
        <f t="shared" si="13"/>
        <v>0</v>
      </c>
      <c r="BP36" s="213">
        <f t="shared" si="14"/>
        <v>0</v>
      </c>
      <c r="BQ36" s="205" t="str">
        <f t="shared" si="15"/>
        <v>10,20 2023.03.27</v>
      </c>
      <c r="BR36" s="205" t="str">
        <f t="shared" si="16"/>
        <v>11,00 2023.03.27</v>
      </c>
      <c r="BS36" s="206" t="str">
        <f t="shared" si="17"/>
        <v>В</v>
      </c>
      <c r="BT36" s="207">
        <f t="shared" si="18"/>
        <v>0.67</v>
      </c>
      <c r="BU36" s="212">
        <f t="shared" si="19"/>
        <v>3</v>
      </c>
      <c r="BV36" s="195">
        <f t="shared" si="20"/>
        <v>0</v>
      </c>
      <c r="BW36" s="195">
        <f t="shared" si="21"/>
        <v>0</v>
      </c>
      <c r="BX36" s="195">
        <f t="shared" si="22"/>
        <v>3</v>
      </c>
      <c r="BY36" s="195">
        <f t="shared" si="23"/>
        <v>0</v>
      </c>
      <c r="BZ36" s="195">
        <f t="shared" si="24"/>
        <v>0</v>
      </c>
      <c r="CA36" s="195">
        <f t="shared" si="25"/>
        <v>3</v>
      </c>
      <c r="CB36" s="212">
        <f t="shared" si="26"/>
        <v>0</v>
      </c>
      <c r="CC36" s="195">
        <f t="shared" si="27"/>
        <v>0</v>
      </c>
      <c r="CD36" s="214">
        <f t="shared" si="28"/>
        <v>0</v>
      </c>
      <c r="CE36" s="206"/>
      <c r="CF36" s="215">
        <f t="shared" si="29"/>
        <v>0</v>
      </c>
      <c r="CG36" s="215">
        <f t="shared" si="30"/>
        <v>0</v>
      </c>
      <c r="CH36" s="215">
        <f t="shared" si="31"/>
        <v>0</v>
      </c>
      <c r="CI36" s="215">
        <f t="shared" si="32"/>
        <v>0</v>
      </c>
      <c r="CJ36" s="215">
        <f t="shared" si="33"/>
        <v>0</v>
      </c>
      <c r="CK36" s="215">
        <f t="shared" si="34"/>
        <v>0</v>
      </c>
      <c r="CL36" s="215">
        <f t="shared" si="35"/>
        <v>0</v>
      </c>
      <c r="CM36" s="215">
        <f t="shared" si="36"/>
        <v>0</v>
      </c>
      <c r="CN36" s="215">
        <f t="shared" si="37"/>
        <v>0</v>
      </c>
      <c r="CO36" s="215">
        <f t="shared" si="38"/>
        <v>0</v>
      </c>
      <c r="CP36" s="215">
        <f t="shared" si="39"/>
        <v>0</v>
      </c>
      <c r="CQ36" s="215">
        <f t="shared" si="40"/>
        <v>0</v>
      </c>
      <c r="CR36" s="300"/>
    </row>
    <row r="37" spans="1:96" s="217" customFormat="1" ht="32.25" customHeight="1" x14ac:dyDescent="0.25">
      <c r="A37" s="208" t="s">
        <v>672</v>
      </c>
      <c r="B37" s="208"/>
      <c r="D37" s="208">
        <v>15</v>
      </c>
      <c r="AA37" s="210" t="s">
        <v>147</v>
      </c>
      <c r="AB37" s="211" t="s">
        <v>707</v>
      </c>
      <c r="AC37" s="122" t="s">
        <v>674</v>
      </c>
      <c r="AD37" s="123" t="s">
        <v>44</v>
      </c>
      <c r="AE37" s="122" t="s">
        <v>708</v>
      </c>
      <c r="AF37" s="124" t="s">
        <v>676</v>
      </c>
      <c r="AG37" s="24" t="s">
        <v>709</v>
      </c>
      <c r="AH37" s="24" t="s">
        <v>705</v>
      </c>
      <c r="AI37" s="125" t="s">
        <v>68</v>
      </c>
      <c r="AJ37" s="126">
        <v>0.33</v>
      </c>
      <c r="AK37" s="122" t="s">
        <v>44</v>
      </c>
      <c r="AL37" s="122" t="s">
        <v>46</v>
      </c>
      <c r="AM37" s="122" t="s">
        <v>46</v>
      </c>
      <c r="AN37" s="212">
        <f t="shared" si="1"/>
        <v>95</v>
      </c>
      <c r="AO37" s="114">
        <v>0</v>
      </c>
      <c r="AP37" s="114">
        <v>0</v>
      </c>
      <c r="AQ37" s="114">
        <v>95</v>
      </c>
      <c r="AR37" s="114">
        <v>0</v>
      </c>
      <c r="AS37" s="114">
        <v>0</v>
      </c>
      <c r="AT37" s="114">
        <v>5</v>
      </c>
      <c r="AU37" s="212">
        <f t="shared" si="2"/>
        <v>90</v>
      </c>
      <c r="AV37" s="114">
        <v>0</v>
      </c>
      <c r="AW37" s="127">
        <v>1500</v>
      </c>
      <c r="AX37" s="122" t="s">
        <v>679</v>
      </c>
      <c r="AY37" s="128" t="s">
        <v>710</v>
      </c>
      <c r="AZ37" s="128" t="s">
        <v>126</v>
      </c>
      <c r="BA37" s="128" t="s">
        <v>567</v>
      </c>
      <c r="BB37" s="114">
        <v>1</v>
      </c>
      <c r="BC37" s="204"/>
      <c r="BD37" s="204"/>
      <c r="BE37" s="213">
        <f t="shared" si="3"/>
        <v>0</v>
      </c>
      <c r="BF37" s="213">
        <f t="shared" si="4"/>
        <v>0</v>
      </c>
      <c r="BG37" s="213">
        <f t="shared" si="5"/>
        <v>0</v>
      </c>
      <c r="BH37" s="213">
        <f t="shared" si="6"/>
        <v>0</v>
      </c>
      <c r="BI37" s="213">
        <f t="shared" si="7"/>
        <v>0</v>
      </c>
      <c r="BJ37" s="213">
        <f t="shared" si="8"/>
        <v>0</v>
      </c>
      <c r="BK37" s="213">
        <f t="shared" si="9"/>
        <v>0</v>
      </c>
      <c r="BL37" s="213">
        <f t="shared" si="10"/>
        <v>0</v>
      </c>
      <c r="BM37" s="213">
        <f t="shared" si="11"/>
        <v>0</v>
      </c>
      <c r="BN37" s="213">
        <f t="shared" si="12"/>
        <v>0</v>
      </c>
      <c r="BO37" s="213">
        <f t="shared" si="13"/>
        <v>0</v>
      </c>
      <c r="BP37" s="213">
        <f t="shared" si="14"/>
        <v>0</v>
      </c>
      <c r="BQ37" s="205" t="str">
        <f t="shared" si="15"/>
        <v>10,40 2023.03.27</v>
      </c>
      <c r="BR37" s="205" t="str">
        <f t="shared" si="16"/>
        <v>11,00 2023.03.27</v>
      </c>
      <c r="BS37" s="206" t="str">
        <f t="shared" si="17"/>
        <v>В</v>
      </c>
      <c r="BT37" s="207">
        <f t="shared" si="18"/>
        <v>0.33</v>
      </c>
      <c r="BU37" s="212">
        <f t="shared" si="19"/>
        <v>95</v>
      </c>
      <c r="BV37" s="195">
        <f t="shared" si="20"/>
        <v>0</v>
      </c>
      <c r="BW37" s="195">
        <f t="shared" si="21"/>
        <v>0</v>
      </c>
      <c r="BX37" s="195">
        <f t="shared" si="22"/>
        <v>95</v>
      </c>
      <c r="BY37" s="195">
        <f t="shared" si="23"/>
        <v>0</v>
      </c>
      <c r="BZ37" s="195">
        <f t="shared" si="24"/>
        <v>0</v>
      </c>
      <c r="CA37" s="195">
        <f t="shared" si="25"/>
        <v>5</v>
      </c>
      <c r="CB37" s="212">
        <f t="shared" si="26"/>
        <v>90</v>
      </c>
      <c r="CC37" s="195">
        <f t="shared" si="27"/>
        <v>0</v>
      </c>
      <c r="CD37" s="214">
        <f t="shared" si="28"/>
        <v>1</v>
      </c>
      <c r="CE37" s="206"/>
      <c r="CF37" s="215">
        <f t="shared" si="29"/>
        <v>0</v>
      </c>
      <c r="CG37" s="215">
        <f t="shared" si="30"/>
        <v>0</v>
      </c>
      <c r="CH37" s="215">
        <f t="shared" si="31"/>
        <v>0</v>
      </c>
      <c r="CI37" s="215">
        <f t="shared" si="32"/>
        <v>0</v>
      </c>
      <c r="CJ37" s="215">
        <f t="shared" si="33"/>
        <v>0</v>
      </c>
      <c r="CK37" s="215">
        <f t="shared" si="34"/>
        <v>0</v>
      </c>
      <c r="CL37" s="215">
        <f t="shared" si="35"/>
        <v>0</v>
      </c>
      <c r="CM37" s="215">
        <f t="shared" si="36"/>
        <v>0</v>
      </c>
      <c r="CN37" s="215">
        <f t="shared" si="37"/>
        <v>0</v>
      </c>
      <c r="CO37" s="215">
        <f t="shared" si="38"/>
        <v>0</v>
      </c>
      <c r="CP37" s="215">
        <f t="shared" si="39"/>
        <v>0</v>
      </c>
      <c r="CQ37" s="215">
        <f t="shared" si="40"/>
        <v>0</v>
      </c>
      <c r="CR37" s="300"/>
    </row>
    <row r="38" spans="1:96" s="217" customFormat="1" ht="32.25" customHeight="1" x14ac:dyDescent="0.25">
      <c r="A38" s="208" t="s">
        <v>672</v>
      </c>
      <c r="B38" s="208"/>
      <c r="D38" s="208">
        <v>15</v>
      </c>
      <c r="AA38" s="210" t="s">
        <v>147</v>
      </c>
      <c r="AB38" s="211" t="s">
        <v>711</v>
      </c>
      <c r="AC38" s="122" t="s">
        <v>674</v>
      </c>
      <c r="AD38" s="123" t="s">
        <v>44</v>
      </c>
      <c r="AE38" s="122" t="s">
        <v>712</v>
      </c>
      <c r="AF38" s="124" t="s">
        <v>676</v>
      </c>
      <c r="AG38" s="24" t="s">
        <v>713</v>
      </c>
      <c r="AH38" s="24" t="s">
        <v>714</v>
      </c>
      <c r="AI38" s="125" t="s">
        <v>68</v>
      </c>
      <c r="AJ38" s="126">
        <v>1.42</v>
      </c>
      <c r="AK38" s="122" t="s">
        <v>76</v>
      </c>
      <c r="AL38" s="122" t="s">
        <v>46</v>
      </c>
      <c r="AM38" s="122" t="s">
        <v>46</v>
      </c>
      <c r="AN38" s="212">
        <f t="shared" si="1"/>
        <v>110</v>
      </c>
      <c r="AO38" s="114">
        <v>0</v>
      </c>
      <c r="AP38" s="114">
        <v>0</v>
      </c>
      <c r="AQ38" s="114">
        <v>110</v>
      </c>
      <c r="AR38" s="114">
        <v>0</v>
      </c>
      <c r="AS38" s="114">
        <v>0</v>
      </c>
      <c r="AT38" s="114">
        <v>37</v>
      </c>
      <c r="AU38" s="212">
        <f t="shared" si="2"/>
        <v>73</v>
      </c>
      <c r="AV38" s="114">
        <v>0</v>
      </c>
      <c r="AW38" s="127">
        <v>1750</v>
      </c>
      <c r="AX38" s="122" t="s">
        <v>679</v>
      </c>
      <c r="AY38" s="128" t="s">
        <v>715</v>
      </c>
      <c r="AZ38" s="128" t="s">
        <v>126</v>
      </c>
      <c r="BA38" s="128" t="s">
        <v>681</v>
      </c>
      <c r="BB38" s="114">
        <v>0</v>
      </c>
      <c r="BC38" s="204"/>
      <c r="BD38" s="204"/>
      <c r="BE38" s="213">
        <f t="shared" si="3"/>
        <v>0</v>
      </c>
      <c r="BF38" s="213">
        <f t="shared" si="4"/>
        <v>0</v>
      </c>
      <c r="BG38" s="213">
        <f t="shared" si="5"/>
        <v>0</v>
      </c>
      <c r="BH38" s="213">
        <f t="shared" si="6"/>
        <v>0</v>
      </c>
      <c r="BI38" s="213">
        <f t="shared" si="7"/>
        <v>0</v>
      </c>
      <c r="BJ38" s="213">
        <f t="shared" si="8"/>
        <v>0</v>
      </c>
      <c r="BK38" s="213">
        <f t="shared" si="9"/>
        <v>0</v>
      </c>
      <c r="BL38" s="213">
        <f t="shared" si="10"/>
        <v>0</v>
      </c>
      <c r="BM38" s="213">
        <f t="shared" si="11"/>
        <v>0</v>
      </c>
      <c r="BN38" s="213">
        <f t="shared" si="12"/>
        <v>0</v>
      </c>
      <c r="BO38" s="213">
        <f t="shared" si="13"/>
        <v>0</v>
      </c>
      <c r="BP38" s="213">
        <f t="shared" si="14"/>
        <v>0</v>
      </c>
      <c r="BQ38" s="205" t="str">
        <f t="shared" si="15"/>
        <v>08,05 2023.03.20</v>
      </c>
      <c r="BR38" s="205" t="str">
        <f t="shared" si="16"/>
        <v>09,30 2023.03.20</v>
      </c>
      <c r="BS38" s="206" t="str">
        <f t="shared" si="17"/>
        <v>В</v>
      </c>
      <c r="BT38" s="207">
        <f t="shared" si="18"/>
        <v>1.42</v>
      </c>
      <c r="BU38" s="212">
        <f t="shared" si="19"/>
        <v>110</v>
      </c>
      <c r="BV38" s="195">
        <f t="shared" si="20"/>
        <v>0</v>
      </c>
      <c r="BW38" s="195">
        <f t="shared" si="21"/>
        <v>0</v>
      </c>
      <c r="BX38" s="195">
        <f t="shared" si="22"/>
        <v>110</v>
      </c>
      <c r="BY38" s="195">
        <f t="shared" si="23"/>
        <v>0</v>
      </c>
      <c r="BZ38" s="195">
        <f t="shared" si="24"/>
        <v>0</v>
      </c>
      <c r="CA38" s="195">
        <f t="shared" si="25"/>
        <v>37</v>
      </c>
      <c r="CB38" s="212">
        <f t="shared" si="26"/>
        <v>73</v>
      </c>
      <c r="CC38" s="195">
        <f t="shared" si="27"/>
        <v>0</v>
      </c>
      <c r="CD38" s="214">
        <f t="shared" si="28"/>
        <v>0</v>
      </c>
      <c r="CE38" s="206"/>
      <c r="CF38" s="215">
        <f t="shared" si="29"/>
        <v>0</v>
      </c>
      <c r="CG38" s="215">
        <f t="shared" si="30"/>
        <v>0</v>
      </c>
      <c r="CH38" s="215">
        <f t="shared" si="31"/>
        <v>0</v>
      </c>
      <c r="CI38" s="215">
        <f t="shared" si="32"/>
        <v>0</v>
      </c>
      <c r="CJ38" s="215">
        <f t="shared" si="33"/>
        <v>0</v>
      </c>
      <c r="CK38" s="215">
        <f t="shared" si="34"/>
        <v>0</v>
      </c>
      <c r="CL38" s="215">
        <f t="shared" si="35"/>
        <v>0</v>
      </c>
      <c r="CM38" s="215">
        <f t="shared" si="36"/>
        <v>0</v>
      </c>
      <c r="CN38" s="215">
        <f t="shared" si="37"/>
        <v>0</v>
      </c>
      <c r="CO38" s="215">
        <f t="shared" si="38"/>
        <v>0</v>
      </c>
      <c r="CP38" s="215">
        <f t="shared" si="39"/>
        <v>0</v>
      </c>
      <c r="CQ38" s="215">
        <f t="shared" si="40"/>
        <v>0</v>
      </c>
      <c r="CR38" s="300"/>
    </row>
    <row r="39" spans="1:96" s="217" customFormat="1" ht="32.25" customHeight="1" x14ac:dyDescent="0.25">
      <c r="A39" s="208" t="s">
        <v>672</v>
      </c>
      <c r="B39" s="208"/>
      <c r="D39" s="208">
        <v>15</v>
      </c>
      <c r="AA39" s="210" t="s">
        <v>147</v>
      </c>
      <c r="AB39" s="211" t="s">
        <v>716</v>
      </c>
      <c r="AC39" s="122" t="s">
        <v>674</v>
      </c>
      <c r="AD39" s="123" t="s">
        <v>44</v>
      </c>
      <c r="AE39" s="122" t="s">
        <v>717</v>
      </c>
      <c r="AF39" s="124" t="s">
        <v>676</v>
      </c>
      <c r="AG39" s="24" t="s">
        <v>718</v>
      </c>
      <c r="AH39" s="24" t="s">
        <v>719</v>
      </c>
      <c r="AI39" s="125" t="s">
        <v>68</v>
      </c>
      <c r="AJ39" s="126">
        <v>0.67</v>
      </c>
      <c r="AK39" s="122" t="s">
        <v>44</v>
      </c>
      <c r="AL39" s="122" t="s">
        <v>46</v>
      </c>
      <c r="AM39" s="122" t="s">
        <v>46</v>
      </c>
      <c r="AN39" s="212">
        <f t="shared" si="1"/>
        <v>180</v>
      </c>
      <c r="AO39" s="114">
        <v>0</v>
      </c>
      <c r="AP39" s="114">
        <v>0</v>
      </c>
      <c r="AQ39" s="114">
        <v>180</v>
      </c>
      <c r="AR39" s="114">
        <v>0</v>
      </c>
      <c r="AS39" s="114">
        <v>0</v>
      </c>
      <c r="AT39" s="114">
        <v>30</v>
      </c>
      <c r="AU39" s="212">
        <f t="shared" si="2"/>
        <v>150</v>
      </c>
      <c r="AV39" s="114">
        <v>0</v>
      </c>
      <c r="AW39" s="127">
        <v>1700</v>
      </c>
      <c r="AX39" s="122" t="s">
        <v>679</v>
      </c>
      <c r="AY39" s="128" t="s">
        <v>720</v>
      </c>
      <c r="AZ39" s="128" t="s">
        <v>126</v>
      </c>
      <c r="BA39" s="128" t="s">
        <v>567</v>
      </c>
      <c r="BB39" s="114">
        <v>1</v>
      </c>
      <c r="BC39" s="204"/>
      <c r="BD39" s="204"/>
      <c r="BE39" s="213">
        <f t="shared" si="3"/>
        <v>0</v>
      </c>
      <c r="BF39" s="213">
        <f t="shared" si="4"/>
        <v>0</v>
      </c>
      <c r="BG39" s="213">
        <f t="shared" si="5"/>
        <v>0</v>
      </c>
      <c r="BH39" s="213">
        <f t="shared" si="6"/>
        <v>0</v>
      </c>
      <c r="BI39" s="213">
        <f t="shared" si="7"/>
        <v>0</v>
      </c>
      <c r="BJ39" s="213">
        <f t="shared" si="8"/>
        <v>0</v>
      </c>
      <c r="BK39" s="213">
        <f t="shared" si="9"/>
        <v>0</v>
      </c>
      <c r="BL39" s="213">
        <f t="shared" si="10"/>
        <v>0</v>
      </c>
      <c r="BM39" s="213">
        <f t="shared" si="11"/>
        <v>0</v>
      </c>
      <c r="BN39" s="213">
        <f t="shared" si="12"/>
        <v>0</v>
      </c>
      <c r="BO39" s="213">
        <f t="shared" si="13"/>
        <v>0</v>
      </c>
      <c r="BP39" s="213">
        <f t="shared" si="14"/>
        <v>0</v>
      </c>
      <c r="BQ39" s="205" t="str">
        <f t="shared" si="15"/>
        <v>05,50 2023.03.23</v>
      </c>
      <c r="BR39" s="205" t="str">
        <f t="shared" si="16"/>
        <v>06,30 2023.03.23</v>
      </c>
      <c r="BS39" s="206" t="str">
        <f t="shared" si="17"/>
        <v>В</v>
      </c>
      <c r="BT39" s="207">
        <f t="shared" si="18"/>
        <v>0.67</v>
      </c>
      <c r="BU39" s="212">
        <f t="shared" si="19"/>
        <v>180</v>
      </c>
      <c r="BV39" s="195">
        <f t="shared" si="20"/>
        <v>0</v>
      </c>
      <c r="BW39" s="195">
        <f t="shared" si="21"/>
        <v>0</v>
      </c>
      <c r="BX39" s="195">
        <f t="shared" si="22"/>
        <v>180</v>
      </c>
      <c r="BY39" s="195">
        <f t="shared" si="23"/>
        <v>0</v>
      </c>
      <c r="BZ39" s="195">
        <f t="shared" si="24"/>
        <v>0</v>
      </c>
      <c r="CA39" s="195">
        <f t="shared" si="25"/>
        <v>30</v>
      </c>
      <c r="CB39" s="212">
        <f t="shared" si="26"/>
        <v>150</v>
      </c>
      <c r="CC39" s="195">
        <f t="shared" si="27"/>
        <v>0</v>
      </c>
      <c r="CD39" s="214">
        <f t="shared" si="28"/>
        <v>1</v>
      </c>
      <c r="CE39" s="206"/>
      <c r="CF39" s="215">
        <f t="shared" si="29"/>
        <v>0</v>
      </c>
      <c r="CG39" s="215">
        <f t="shared" si="30"/>
        <v>0</v>
      </c>
      <c r="CH39" s="215">
        <f t="shared" si="31"/>
        <v>0</v>
      </c>
      <c r="CI39" s="215">
        <f t="shared" si="32"/>
        <v>0</v>
      </c>
      <c r="CJ39" s="215">
        <f t="shared" si="33"/>
        <v>0</v>
      </c>
      <c r="CK39" s="215">
        <f t="shared" si="34"/>
        <v>0</v>
      </c>
      <c r="CL39" s="215">
        <f t="shared" si="35"/>
        <v>0</v>
      </c>
      <c r="CM39" s="215">
        <f t="shared" si="36"/>
        <v>0</v>
      </c>
      <c r="CN39" s="215">
        <f t="shared" si="37"/>
        <v>0</v>
      </c>
      <c r="CO39" s="215">
        <f t="shared" si="38"/>
        <v>0</v>
      </c>
      <c r="CP39" s="215">
        <f t="shared" si="39"/>
        <v>0</v>
      </c>
      <c r="CQ39" s="215">
        <f t="shared" si="40"/>
        <v>0</v>
      </c>
      <c r="CR39" s="300"/>
    </row>
    <row r="40" spans="1:96" s="217" customFormat="1" ht="32.25" customHeight="1" x14ac:dyDescent="0.25">
      <c r="A40" s="208" t="s">
        <v>672</v>
      </c>
      <c r="B40" s="208"/>
      <c r="D40" s="208">
        <v>15</v>
      </c>
      <c r="AA40" s="210" t="s">
        <v>147</v>
      </c>
      <c r="AB40" s="211" t="s">
        <v>721</v>
      </c>
      <c r="AC40" s="122" t="s">
        <v>674</v>
      </c>
      <c r="AD40" s="123" t="s">
        <v>44</v>
      </c>
      <c r="AE40" s="122" t="s">
        <v>722</v>
      </c>
      <c r="AF40" s="124" t="s">
        <v>676</v>
      </c>
      <c r="AG40" s="24" t="s">
        <v>723</v>
      </c>
      <c r="AH40" s="24" t="s">
        <v>724</v>
      </c>
      <c r="AI40" s="125" t="s">
        <v>68</v>
      </c>
      <c r="AJ40" s="126">
        <v>0.67</v>
      </c>
      <c r="AK40" s="122" t="s">
        <v>76</v>
      </c>
      <c r="AL40" s="122" t="s">
        <v>46</v>
      </c>
      <c r="AM40" s="122" t="s">
        <v>46</v>
      </c>
      <c r="AN40" s="212">
        <f t="shared" si="1"/>
        <v>430</v>
      </c>
      <c r="AO40" s="114">
        <v>0</v>
      </c>
      <c r="AP40" s="114">
        <v>0</v>
      </c>
      <c r="AQ40" s="114">
        <v>430</v>
      </c>
      <c r="AR40" s="114">
        <v>0</v>
      </c>
      <c r="AS40" s="114">
        <v>0</v>
      </c>
      <c r="AT40" s="114">
        <v>95</v>
      </c>
      <c r="AU40" s="212">
        <f t="shared" si="2"/>
        <v>335</v>
      </c>
      <c r="AV40" s="114">
        <v>0</v>
      </c>
      <c r="AW40" s="127">
        <v>1480</v>
      </c>
      <c r="AX40" s="122" t="s">
        <v>679</v>
      </c>
      <c r="AY40" s="128" t="s">
        <v>725</v>
      </c>
      <c r="AZ40" s="128" t="s">
        <v>126</v>
      </c>
      <c r="BA40" s="128" t="s">
        <v>567</v>
      </c>
      <c r="BB40" s="114">
        <v>1</v>
      </c>
      <c r="BC40" s="204"/>
      <c r="BD40" s="204"/>
      <c r="BE40" s="213">
        <f t="shared" si="3"/>
        <v>0</v>
      </c>
      <c r="BF40" s="213">
        <f t="shared" si="4"/>
        <v>0</v>
      </c>
      <c r="BG40" s="213">
        <f t="shared" si="5"/>
        <v>0</v>
      </c>
      <c r="BH40" s="213">
        <f t="shared" si="6"/>
        <v>0</v>
      </c>
      <c r="BI40" s="213">
        <f t="shared" si="7"/>
        <v>0</v>
      </c>
      <c r="BJ40" s="213">
        <f t="shared" si="8"/>
        <v>0</v>
      </c>
      <c r="BK40" s="213">
        <f t="shared" si="9"/>
        <v>0</v>
      </c>
      <c r="BL40" s="213">
        <f t="shared" si="10"/>
        <v>0</v>
      </c>
      <c r="BM40" s="213">
        <f t="shared" si="11"/>
        <v>0</v>
      </c>
      <c r="BN40" s="213">
        <f t="shared" si="12"/>
        <v>0</v>
      </c>
      <c r="BO40" s="213">
        <f t="shared" si="13"/>
        <v>0</v>
      </c>
      <c r="BP40" s="213">
        <f t="shared" si="14"/>
        <v>0</v>
      </c>
      <c r="BQ40" s="205" t="str">
        <f t="shared" si="15"/>
        <v>22,00 2023.04.10</v>
      </c>
      <c r="BR40" s="205" t="str">
        <f t="shared" si="16"/>
        <v>22,40 2023.04.10</v>
      </c>
      <c r="BS40" s="206" t="str">
        <f t="shared" si="17"/>
        <v>В</v>
      </c>
      <c r="BT40" s="207">
        <f t="shared" si="18"/>
        <v>0.67</v>
      </c>
      <c r="BU40" s="212">
        <f t="shared" si="19"/>
        <v>430</v>
      </c>
      <c r="BV40" s="195">
        <f t="shared" si="20"/>
        <v>0</v>
      </c>
      <c r="BW40" s="195">
        <f t="shared" si="21"/>
        <v>0</v>
      </c>
      <c r="BX40" s="195">
        <f t="shared" si="22"/>
        <v>430</v>
      </c>
      <c r="BY40" s="195">
        <f t="shared" si="23"/>
        <v>0</v>
      </c>
      <c r="BZ40" s="195">
        <f t="shared" si="24"/>
        <v>0</v>
      </c>
      <c r="CA40" s="195">
        <f t="shared" si="25"/>
        <v>95</v>
      </c>
      <c r="CB40" s="212">
        <f t="shared" si="26"/>
        <v>335</v>
      </c>
      <c r="CC40" s="195">
        <f t="shared" si="27"/>
        <v>0</v>
      </c>
      <c r="CD40" s="214">
        <f t="shared" si="28"/>
        <v>1</v>
      </c>
      <c r="CE40" s="206"/>
      <c r="CF40" s="215">
        <f t="shared" si="29"/>
        <v>0</v>
      </c>
      <c r="CG40" s="215">
        <f t="shared" si="30"/>
        <v>0</v>
      </c>
      <c r="CH40" s="215">
        <f t="shared" si="31"/>
        <v>0</v>
      </c>
      <c r="CI40" s="215">
        <f t="shared" si="32"/>
        <v>0</v>
      </c>
      <c r="CJ40" s="215">
        <f t="shared" si="33"/>
        <v>0</v>
      </c>
      <c r="CK40" s="215">
        <f t="shared" si="34"/>
        <v>0</v>
      </c>
      <c r="CL40" s="215">
        <f t="shared" si="35"/>
        <v>0</v>
      </c>
      <c r="CM40" s="215">
        <f t="shared" si="36"/>
        <v>0</v>
      </c>
      <c r="CN40" s="215">
        <f t="shared" si="37"/>
        <v>0</v>
      </c>
      <c r="CO40" s="215">
        <f t="shared" si="38"/>
        <v>0</v>
      </c>
      <c r="CP40" s="215">
        <f t="shared" si="39"/>
        <v>0</v>
      </c>
      <c r="CQ40" s="215">
        <f t="shared" si="40"/>
        <v>0</v>
      </c>
      <c r="CR40" s="300"/>
    </row>
    <row r="41" spans="1:96" s="217" customFormat="1" ht="32.25" customHeight="1" x14ac:dyDescent="0.25">
      <c r="A41" s="208" t="s">
        <v>672</v>
      </c>
      <c r="B41" s="208"/>
      <c r="D41" s="208">
        <v>15</v>
      </c>
      <c r="AA41" s="210" t="s">
        <v>147</v>
      </c>
      <c r="AB41" s="211" t="s">
        <v>726</v>
      </c>
      <c r="AC41" s="122" t="s">
        <v>674</v>
      </c>
      <c r="AD41" s="123" t="s">
        <v>44</v>
      </c>
      <c r="AE41" s="122" t="s">
        <v>727</v>
      </c>
      <c r="AF41" s="124" t="s">
        <v>676</v>
      </c>
      <c r="AG41" s="24" t="s">
        <v>723</v>
      </c>
      <c r="AH41" s="24" t="s">
        <v>724</v>
      </c>
      <c r="AI41" s="125" t="s">
        <v>68</v>
      </c>
      <c r="AJ41" s="126">
        <v>0.67</v>
      </c>
      <c r="AK41" s="122" t="s">
        <v>76</v>
      </c>
      <c r="AL41" s="122" t="s">
        <v>46</v>
      </c>
      <c r="AM41" s="122" t="s">
        <v>46</v>
      </c>
      <c r="AN41" s="212">
        <f t="shared" si="1"/>
        <v>385</v>
      </c>
      <c r="AO41" s="114">
        <v>0</v>
      </c>
      <c r="AP41" s="114">
        <v>0</v>
      </c>
      <c r="AQ41" s="114">
        <v>385</v>
      </c>
      <c r="AR41" s="114">
        <v>0</v>
      </c>
      <c r="AS41" s="114">
        <v>0</v>
      </c>
      <c r="AT41" s="114">
        <v>85</v>
      </c>
      <c r="AU41" s="212">
        <f t="shared" si="2"/>
        <v>300</v>
      </c>
      <c r="AV41" s="114">
        <v>0</v>
      </c>
      <c r="AW41" s="127">
        <v>1370</v>
      </c>
      <c r="AX41" s="122" t="s">
        <v>679</v>
      </c>
      <c r="AY41" s="128" t="s">
        <v>728</v>
      </c>
      <c r="AZ41" s="128" t="s">
        <v>126</v>
      </c>
      <c r="BA41" s="128" t="s">
        <v>567</v>
      </c>
      <c r="BB41" s="114">
        <v>1</v>
      </c>
      <c r="BC41" s="204"/>
      <c r="BD41" s="204"/>
      <c r="BE41" s="213">
        <f t="shared" si="3"/>
        <v>0</v>
      </c>
      <c r="BF41" s="213">
        <f t="shared" si="4"/>
        <v>0</v>
      </c>
      <c r="BG41" s="213">
        <f t="shared" si="5"/>
        <v>0</v>
      </c>
      <c r="BH41" s="213">
        <f t="shared" si="6"/>
        <v>0</v>
      </c>
      <c r="BI41" s="213">
        <f t="shared" si="7"/>
        <v>0</v>
      </c>
      <c r="BJ41" s="213">
        <f t="shared" si="8"/>
        <v>0</v>
      </c>
      <c r="BK41" s="213">
        <f t="shared" si="9"/>
        <v>0</v>
      </c>
      <c r="BL41" s="213">
        <f t="shared" si="10"/>
        <v>0</v>
      </c>
      <c r="BM41" s="213">
        <f t="shared" si="11"/>
        <v>0</v>
      </c>
      <c r="BN41" s="213">
        <f t="shared" si="12"/>
        <v>0</v>
      </c>
      <c r="BO41" s="213">
        <f t="shared" si="13"/>
        <v>0</v>
      </c>
      <c r="BP41" s="213">
        <f t="shared" si="14"/>
        <v>0</v>
      </c>
      <c r="BQ41" s="205" t="str">
        <f t="shared" si="15"/>
        <v>22,00 2023.04.10</v>
      </c>
      <c r="BR41" s="205" t="str">
        <f t="shared" si="16"/>
        <v>22,40 2023.04.10</v>
      </c>
      <c r="BS41" s="206" t="str">
        <f t="shared" si="17"/>
        <v>В</v>
      </c>
      <c r="BT41" s="207">
        <f t="shared" si="18"/>
        <v>0.67</v>
      </c>
      <c r="BU41" s="212">
        <f t="shared" si="19"/>
        <v>385</v>
      </c>
      <c r="BV41" s="195">
        <f t="shared" si="20"/>
        <v>0</v>
      </c>
      <c r="BW41" s="195">
        <f t="shared" si="21"/>
        <v>0</v>
      </c>
      <c r="BX41" s="195">
        <f t="shared" si="22"/>
        <v>385</v>
      </c>
      <c r="BY41" s="195">
        <f t="shared" si="23"/>
        <v>0</v>
      </c>
      <c r="BZ41" s="195">
        <f t="shared" si="24"/>
        <v>0</v>
      </c>
      <c r="CA41" s="195">
        <f t="shared" si="25"/>
        <v>85</v>
      </c>
      <c r="CB41" s="212">
        <f t="shared" si="26"/>
        <v>300</v>
      </c>
      <c r="CC41" s="195">
        <f t="shared" si="27"/>
        <v>0</v>
      </c>
      <c r="CD41" s="214">
        <f t="shared" si="28"/>
        <v>1</v>
      </c>
      <c r="CE41" s="206"/>
      <c r="CF41" s="215">
        <f t="shared" si="29"/>
        <v>0</v>
      </c>
      <c r="CG41" s="215">
        <f t="shared" si="30"/>
        <v>0</v>
      </c>
      <c r="CH41" s="215">
        <f t="shared" si="31"/>
        <v>0</v>
      </c>
      <c r="CI41" s="215">
        <f t="shared" si="32"/>
        <v>0</v>
      </c>
      <c r="CJ41" s="215">
        <f t="shared" si="33"/>
        <v>0</v>
      </c>
      <c r="CK41" s="215">
        <f t="shared" si="34"/>
        <v>0</v>
      </c>
      <c r="CL41" s="215">
        <f t="shared" si="35"/>
        <v>0</v>
      </c>
      <c r="CM41" s="215">
        <f t="shared" si="36"/>
        <v>0</v>
      </c>
      <c r="CN41" s="215">
        <f t="shared" si="37"/>
        <v>0</v>
      </c>
      <c r="CO41" s="215">
        <f t="shared" si="38"/>
        <v>0</v>
      </c>
      <c r="CP41" s="215">
        <f t="shared" si="39"/>
        <v>0</v>
      </c>
      <c r="CQ41" s="215">
        <f t="shared" si="40"/>
        <v>0</v>
      </c>
      <c r="CR41" s="300"/>
    </row>
    <row r="42" spans="1:96" s="217" customFormat="1" ht="32.25" customHeight="1" x14ac:dyDescent="0.25">
      <c r="A42" s="208" t="s">
        <v>672</v>
      </c>
      <c r="B42" s="208"/>
      <c r="D42" s="208">
        <v>15</v>
      </c>
      <c r="AA42" s="210" t="s">
        <v>147</v>
      </c>
      <c r="AB42" s="211" t="s">
        <v>729</v>
      </c>
      <c r="AC42" s="122" t="s">
        <v>674</v>
      </c>
      <c r="AD42" s="123" t="s">
        <v>44</v>
      </c>
      <c r="AE42" s="122" t="s">
        <v>730</v>
      </c>
      <c r="AF42" s="124" t="s">
        <v>676</v>
      </c>
      <c r="AG42" s="24" t="s">
        <v>731</v>
      </c>
      <c r="AH42" s="24" t="s">
        <v>732</v>
      </c>
      <c r="AI42" s="125" t="s">
        <v>68</v>
      </c>
      <c r="AJ42" s="126">
        <v>2</v>
      </c>
      <c r="AK42" s="122" t="s">
        <v>44</v>
      </c>
      <c r="AL42" s="122" t="s">
        <v>46</v>
      </c>
      <c r="AM42" s="122" t="s">
        <v>46</v>
      </c>
      <c r="AN42" s="212">
        <f t="shared" si="1"/>
        <v>200</v>
      </c>
      <c r="AO42" s="114">
        <v>0</v>
      </c>
      <c r="AP42" s="114">
        <v>0</v>
      </c>
      <c r="AQ42" s="114">
        <v>200</v>
      </c>
      <c r="AR42" s="114">
        <v>0</v>
      </c>
      <c r="AS42" s="114">
        <v>0</v>
      </c>
      <c r="AT42" s="114">
        <v>50</v>
      </c>
      <c r="AU42" s="212">
        <f t="shared" si="2"/>
        <v>150</v>
      </c>
      <c r="AV42" s="114">
        <v>0</v>
      </c>
      <c r="AW42" s="127">
        <v>1750</v>
      </c>
      <c r="AX42" s="122" t="s">
        <v>679</v>
      </c>
      <c r="AY42" s="128" t="s">
        <v>733</v>
      </c>
      <c r="AZ42" s="128" t="s">
        <v>126</v>
      </c>
      <c r="BA42" s="128" t="s">
        <v>681</v>
      </c>
      <c r="BB42" s="114">
        <v>0</v>
      </c>
      <c r="BC42" s="204"/>
      <c r="BD42" s="204"/>
      <c r="BE42" s="213">
        <f t="shared" si="3"/>
        <v>0</v>
      </c>
      <c r="BF42" s="213">
        <f t="shared" si="4"/>
        <v>0</v>
      </c>
      <c r="BG42" s="213">
        <f t="shared" si="5"/>
        <v>0</v>
      </c>
      <c r="BH42" s="213">
        <f t="shared" si="6"/>
        <v>0</v>
      </c>
      <c r="BI42" s="213">
        <f t="shared" si="7"/>
        <v>0</v>
      </c>
      <c r="BJ42" s="213">
        <f t="shared" si="8"/>
        <v>0</v>
      </c>
      <c r="BK42" s="213">
        <f t="shared" si="9"/>
        <v>0</v>
      </c>
      <c r="BL42" s="213">
        <f t="shared" si="10"/>
        <v>0</v>
      </c>
      <c r="BM42" s="213">
        <f t="shared" si="11"/>
        <v>0</v>
      </c>
      <c r="BN42" s="213">
        <f t="shared" si="12"/>
        <v>0</v>
      </c>
      <c r="BO42" s="213">
        <f t="shared" si="13"/>
        <v>0</v>
      </c>
      <c r="BP42" s="213">
        <f t="shared" si="14"/>
        <v>0</v>
      </c>
      <c r="BQ42" s="205" t="str">
        <f t="shared" si="15"/>
        <v>13,00 2023.05.10</v>
      </c>
      <c r="BR42" s="205" t="str">
        <f t="shared" si="16"/>
        <v>16,00 2023.05.10</v>
      </c>
      <c r="BS42" s="206" t="str">
        <f t="shared" si="17"/>
        <v>В</v>
      </c>
      <c r="BT42" s="207">
        <f t="shared" si="18"/>
        <v>2</v>
      </c>
      <c r="BU42" s="212">
        <f t="shared" si="19"/>
        <v>200</v>
      </c>
      <c r="BV42" s="195">
        <f t="shared" si="20"/>
        <v>0</v>
      </c>
      <c r="BW42" s="195">
        <f t="shared" si="21"/>
        <v>0</v>
      </c>
      <c r="BX42" s="195">
        <f t="shared" si="22"/>
        <v>200</v>
      </c>
      <c r="BY42" s="195">
        <f t="shared" si="23"/>
        <v>0</v>
      </c>
      <c r="BZ42" s="195">
        <f t="shared" si="24"/>
        <v>0</v>
      </c>
      <c r="CA42" s="195">
        <f t="shared" si="25"/>
        <v>50</v>
      </c>
      <c r="CB42" s="212">
        <f t="shared" si="26"/>
        <v>150</v>
      </c>
      <c r="CC42" s="195">
        <f t="shared" si="27"/>
        <v>0</v>
      </c>
      <c r="CD42" s="214">
        <f t="shared" si="28"/>
        <v>0</v>
      </c>
      <c r="CE42" s="206"/>
      <c r="CF42" s="215">
        <f t="shared" si="29"/>
        <v>0</v>
      </c>
      <c r="CG42" s="215">
        <f t="shared" si="30"/>
        <v>0</v>
      </c>
      <c r="CH42" s="215">
        <f t="shared" si="31"/>
        <v>0</v>
      </c>
      <c r="CI42" s="215">
        <f t="shared" si="32"/>
        <v>0</v>
      </c>
      <c r="CJ42" s="215">
        <f t="shared" si="33"/>
        <v>0</v>
      </c>
      <c r="CK42" s="215">
        <f t="shared" si="34"/>
        <v>0</v>
      </c>
      <c r="CL42" s="215">
        <f t="shared" si="35"/>
        <v>0</v>
      </c>
      <c r="CM42" s="215">
        <f t="shared" si="36"/>
        <v>0</v>
      </c>
      <c r="CN42" s="215">
        <f t="shared" si="37"/>
        <v>0</v>
      </c>
      <c r="CO42" s="215">
        <f t="shared" si="38"/>
        <v>0</v>
      </c>
      <c r="CP42" s="215">
        <f t="shared" si="39"/>
        <v>0</v>
      </c>
      <c r="CQ42" s="215">
        <f t="shared" si="40"/>
        <v>0</v>
      </c>
      <c r="CR42" s="300"/>
    </row>
    <row r="43" spans="1:96" s="217" customFormat="1" ht="32.25" customHeight="1" x14ac:dyDescent="0.25">
      <c r="A43" s="208" t="s">
        <v>672</v>
      </c>
      <c r="B43" s="208"/>
      <c r="D43" s="208">
        <v>15</v>
      </c>
      <c r="AA43" s="210" t="s">
        <v>147</v>
      </c>
      <c r="AB43" s="211" t="s">
        <v>734</v>
      </c>
      <c r="AC43" s="122" t="s">
        <v>674</v>
      </c>
      <c r="AD43" s="123" t="s">
        <v>56</v>
      </c>
      <c r="AE43" s="122" t="s">
        <v>735</v>
      </c>
      <c r="AF43" s="124" t="s">
        <v>676</v>
      </c>
      <c r="AG43" s="24" t="s">
        <v>731</v>
      </c>
      <c r="AH43" s="24" t="s">
        <v>732</v>
      </c>
      <c r="AI43" s="125" t="s">
        <v>68</v>
      </c>
      <c r="AJ43" s="126">
        <v>2</v>
      </c>
      <c r="AK43" s="122" t="s">
        <v>56</v>
      </c>
      <c r="AL43" s="122" t="s">
        <v>46</v>
      </c>
      <c r="AM43" s="122" t="s">
        <v>46</v>
      </c>
      <c r="AN43" s="212">
        <f t="shared" si="1"/>
        <v>200</v>
      </c>
      <c r="AO43" s="114">
        <v>0</v>
      </c>
      <c r="AP43" s="114">
        <v>0</v>
      </c>
      <c r="AQ43" s="114">
        <v>200</v>
      </c>
      <c r="AR43" s="114">
        <v>0</v>
      </c>
      <c r="AS43" s="114">
        <v>0</v>
      </c>
      <c r="AT43" s="114">
        <v>50</v>
      </c>
      <c r="AU43" s="212">
        <f t="shared" si="2"/>
        <v>150</v>
      </c>
      <c r="AV43" s="114">
        <v>0</v>
      </c>
      <c r="AW43" s="127">
        <v>1500</v>
      </c>
      <c r="AX43" s="122" t="s">
        <v>679</v>
      </c>
      <c r="AY43" s="128" t="s">
        <v>736</v>
      </c>
      <c r="AZ43" s="128" t="s">
        <v>126</v>
      </c>
      <c r="BA43" s="128" t="s">
        <v>737</v>
      </c>
      <c r="BB43" s="114">
        <v>1</v>
      </c>
      <c r="BC43" s="204"/>
      <c r="BD43" s="204"/>
      <c r="BE43" s="213">
        <f t="shared" si="3"/>
        <v>0</v>
      </c>
      <c r="BF43" s="213">
        <f t="shared" si="4"/>
        <v>0</v>
      </c>
      <c r="BG43" s="213">
        <f t="shared" si="5"/>
        <v>0</v>
      </c>
      <c r="BH43" s="213">
        <f t="shared" si="6"/>
        <v>0</v>
      </c>
      <c r="BI43" s="213">
        <f t="shared" si="7"/>
        <v>0</v>
      </c>
      <c r="BJ43" s="213">
        <f t="shared" si="8"/>
        <v>0</v>
      </c>
      <c r="BK43" s="213">
        <f t="shared" si="9"/>
        <v>0</v>
      </c>
      <c r="BL43" s="213">
        <f t="shared" si="10"/>
        <v>0</v>
      </c>
      <c r="BM43" s="213">
        <f t="shared" si="11"/>
        <v>0</v>
      </c>
      <c r="BN43" s="213">
        <f t="shared" si="12"/>
        <v>0</v>
      </c>
      <c r="BO43" s="213">
        <f t="shared" si="13"/>
        <v>0</v>
      </c>
      <c r="BP43" s="213">
        <f t="shared" si="14"/>
        <v>0</v>
      </c>
      <c r="BQ43" s="205" t="str">
        <f t="shared" si="15"/>
        <v>13,00 2023.05.10</v>
      </c>
      <c r="BR43" s="205" t="str">
        <f t="shared" si="16"/>
        <v>16,00 2023.05.10</v>
      </c>
      <c r="BS43" s="206" t="str">
        <f t="shared" si="17"/>
        <v>В</v>
      </c>
      <c r="BT43" s="207">
        <f t="shared" si="18"/>
        <v>2</v>
      </c>
      <c r="BU43" s="212">
        <f t="shared" si="19"/>
        <v>200</v>
      </c>
      <c r="BV43" s="195">
        <f t="shared" si="20"/>
        <v>0</v>
      </c>
      <c r="BW43" s="195">
        <f t="shared" si="21"/>
        <v>0</v>
      </c>
      <c r="BX43" s="195">
        <f t="shared" si="22"/>
        <v>200</v>
      </c>
      <c r="BY43" s="195">
        <f t="shared" si="23"/>
        <v>0</v>
      </c>
      <c r="BZ43" s="195">
        <f t="shared" si="24"/>
        <v>0</v>
      </c>
      <c r="CA43" s="195">
        <f t="shared" si="25"/>
        <v>50</v>
      </c>
      <c r="CB43" s="212">
        <f t="shared" si="26"/>
        <v>150</v>
      </c>
      <c r="CC43" s="195">
        <f t="shared" si="27"/>
        <v>0</v>
      </c>
      <c r="CD43" s="214">
        <f t="shared" si="28"/>
        <v>1</v>
      </c>
      <c r="CE43" s="206"/>
      <c r="CF43" s="215">
        <f t="shared" si="29"/>
        <v>0</v>
      </c>
      <c r="CG43" s="215">
        <f t="shared" si="30"/>
        <v>0</v>
      </c>
      <c r="CH43" s="215">
        <f t="shared" si="31"/>
        <v>0</v>
      </c>
      <c r="CI43" s="215">
        <f t="shared" si="32"/>
        <v>0</v>
      </c>
      <c r="CJ43" s="215">
        <f t="shared" si="33"/>
        <v>0</v>
      </c>
      <c r="CK43" s="215">
        <f t="shared" si="34"/>
        <v>0</v>
      </c>
      <c r="CL43" s="215">
        <f t="shared" si="35"/>
        <v>0</v>
      </c>
      <c r="CM43" s="215">
        <f t="shared" si="36"/>
        <v>0</v>
      </c>
      <c r="CN43" s="215">
        <f t="shared" si="37"/>
        <v>0</v>
      </c>
      <c r="CO43" s="215">
        <f t="shared" si="38"/>
        <v>0</v>
      </c>
      <c r="CP43" s="215">
        <f t="shared" si="39"/>
        <v>0</v>
      </c>
      <c r="CQ43" s="215">
        <f t="shared" si="40"/>
        <v>0</v>
      </c>
      <c r="CR43" s="300"/>
    </row>
    <row r="44" spans="1:96" s="217" customFormat="1" ht="32.25" customHeight="1" x14ac:dyDescent="0.25">
      <c r="A44" s="208" t="s">
        <v>672</v>
      </c>
      <c r="B44" s="208"/>
      <c r="D44" s="208">
        <v>15</v>
      </c>
      <c r="AA44" s="210" t="s">
        <v>147</v>
      </c>
      <c r="AB44" s="211" t="s">
        <v>738</v>
      </c>
      <c r="AC44" s="122" t="s">
        <v>674</v>
      </c>
      <c r="AD44" s="123" t="s">
        <v>44</v>
      </c>
      <c r="AE44" s="122" t="s">
        <v>739</v>
      </c>
      <c r="AF44" s="124" t="s">
        <v>676</v>
      </c>
      <c r="AG44" s="24" t="s">
        <v>740</v>
      </c>
      <c r="AH44" s="24" t="s">
        <v>741</v>
      </c>
      <c r="AI44" s="125" t="s">
        <v>68</v>
      </c>
      <c r="AJ44" s="126">
        <v>2</v>
      </c>
      <c r="AK44" s="122" t="s">
        <v>76</v>
      </c>
      <c r="AL44" s="122" t="s">
        <v>46</v>
      </c>
      <c r="AM44" s="122" t="s">
        <v>46</v>
      </c>
      <c r="AN44" s="212">
        <f t="shared" si="1"/>
        <v>250</v>
      </c>
      <c r="AO44" s="114">
        <v>0</v>
      </c>
      <c r="AP44" s="114">
        <v>0</v>
      </c>
      <c r="AQ44" s="114">
        <v>250</v>
      </c>
      <c r="AR44" s="114">
        <v>0</v>
      </c>
      <c r="AS44" s="114">
        <v>0</v>
      </c>
      <c r="AT44" s="114">
        <v>0</v>
      </c>
      <c r="AU44" s="212">
        <f t="shared" si="2"/>
        <v>250</v>
      </c>
      <c r="AV44" s="114">
        <v>0</v>
      </c>
      <c r="AW44" s="127">
        <v>1260</v>
      </c>
      <c r="AX44" s="122" t="s">
        <v>679</v>
      </c>
      <c r="AY44" s="128" t="s">
        <v>742</v>
      </c>
      <c r="AZ44" s="128" t="s">
        <v>126</v>
      </c>
      <c r="BA44" s="128" t="s">
        <v>737</v>
      </c>
      <c r="BB44" s="114">
        <v>1</v>
      </c>
      <c r="BC44" s="204"/>
      <c r="BD44" s="204"/>
      <c r="BE44" s="213">
        <f t="shared" si="3"/>
        <v>0</v>
      </c>
      <c r="BF44" s="213">
        <f t="shared" si="4"/>
        <v>0</v>
      </c>
      <c r="BG44" s="213">
        <f t="shared" si="5"/>
        <v>0</v>
      </c>
      <c r="BH44" s="213">
        <f t="shared" si="6"/>
        <v>0</v>
      </c>
      <c r="BI44" s="213">
        <f t="shared" si="7"/>
        <v>0</v>
      </c>
      <c r="BJ44" s="213">
        <f t="shared" si="8"/>
        <v>0</v>
      </c>
      <c r="BK44" s="213">
        <f t="shared" si="9"/>
        <v>0</v>
      </c>
      <c r="BL44" s="213">
        <f t="shared" si="10"/>
        <v>0</v>
      </c>
      <c r="BM44" s="213">
        <f t="shared" si="11"/>
        <v>0</v>
      </c>
      <c r="BN44" s="213">
        <f t="shared" si="12"/>
        <v>0</v>
      </c>
      <c r="BO44" s="213">
        <f t="shared" si="13"/>
        <v>0</v>
      </c>
      <c r="BP44" s="213">
        <f t="shared" si="14"/>
        <v>0</v>
      </c>
      <c r="BQ44" s="205" t="str">
        <f t="shared" si="15"/>
        <v>15,30 2023.05.08</v>
      </c>
      <c r="BR44" s="205" t="str">
        <f t="shared" si="16"/>
        <v>18,30 2023.05.08</v>
      </c>
      <c r="BS44" s="206" t="str">
        <f t="shared" si="17"/>
        <v>В</v>
      </c>
      <c r="BT44" s="207">
        <f t="shared" si="18"/>
        <v>2</v>
      </c>
      <c r="BU44" s="212">
        <f t="shared" si="19"/>
        <v>250</v>
      </c>
      <c r="BV44" s="195">
        <f t="shared" si="20"/>
        <v>0</v>
      </c>
      <c r="BW44" s="195">
        <f t="shared" si="21"/>
        <v>0</v>
      </c>
      <c r="BX44" s="195">
        <f t="shared" si="22"/>
        <v>250</v>
      </c>
      <c r="BY44" s="195">
        <f t="shared" si="23"/>
        <v>0</v>
      </c>
      <c r="BZ44" s="195">
        <f t="shared" si="24"/>
        <v>0</v>
      </c>
      <c r="CA44" s="195">
        <f t="shared" si="25"/>
        <v>0</v>
      </c>
      <c r="CB44" s="212">
        <f t="shared" si="26"/>
        <v>250</v>
      </c>
      <c r="CC44" s="195">
        <f t="shared" si="27"/>
        <v>0</v>
      </c>
      <c r="CD44" s="214">
        <f t="shared" si="28"/>
        <v>1</v>
      </c>
      <c r="CE44" s="206"/>
      <c r="CF44" s="215">
        <f t="shared" si="29"/>
        <v>0</v>
      </c>
      <c r="CG44" s="215">
        <f t="shared" si="30"/>
        <v>0</v>
      </c>
      <c r="CH44" s="215">
        <f t="shared" si="31"/>
        <v>0</v>
      </c>
      <c r="CI44" s="215">
        <f t="shared" si="32"/>
        <v>0</v>
      </c>
      <c r="CJ44" s="215">
        <f t="shared" si="33"/>
        <v>0</v>
      </c>
      <c r="CK44" s="215">
        <f t="shared" si="34"/>
        <v>0</v>
      </c>
      <c r="CL44" s="215">
        <f t="shared" si="35"/>
        <v>0</v>
      </c>
      <c r="CM44" s="215">
        <f t="shared" si="36"/>
        <v>0</v>
      </c>
      <c r="CN44" s="215">
        <f t="shared" si="37"/>
        <v>0</v>
      </c>
      <c r="CO44" s="215">
        <f t="shared" si="38"/>
        <v>0</v>
      </c>
      <c r="CP44" s="215">
        <f t="shared" si="39"/>
        <v>0</v>
      </c>
      <c r="CQ44" s="215">
        <f t="shared" si="40"/>
        <v>0</v>
      </c>
      <c r="CR44" s="300"/>
    </row>
    <row r="45" spans="1:96" s="217" customFormat="1" ht="32.25" customHeight="1" x14ac:dyDescent="0.25">
      <c r="A45" s="208" t="s">
        <v>672</v>
      </c>
      <c r="B45" s="208"/>
      <c r="D45" s="208">
        <v>15</v>
      </c>
      <c r="AA45" s="210" t="s">
        <v>147</v>
      </c>
      <c r="AB45" s="211" t="s">
        <v>743</v>
      </c>
      <c r="AC45" s="122" t="s">
        <v>674</v>
      </c>
      <c r="AD45" s="123" t="s">
        <v>44</v>
      </c>
      <c r="AE45" s="122" t="s">
        <v>744</v>
      </c>
      <c r="AF45" s="124" t="s">
        <v>676</v>
      </c>
      <c r="AG45" s="24" t="s">
        <v>745</v>
      </c>
      <c r="AH45" s="24" t="s">
        <v>746</v>
      </c>
      <c r="AI45" s="125" t="s">
        <v>68</v>
      </c>
      <c r="AJ45" s="126">
        <v>1.83</v>
      </c>
      <c r="AK45" s="122" t="s">
        <v>76</v>
      </c>
      <c r="AL45" s="122" t="s">
        <v>46</v>
      </c>
      <c r="AM45" s="122" t="s">
        <v>46</v>
      </c>
      <c r="AN45" s="212">
        <f t="shared" si="1"/>
        <v>350</v>
      </c>
      <c r="AO45" s="114">
        <v>0</v>
      </c>
      <c r="AP45" s="114">
        <v>0</v>
      </c>
      <c r="AQ45" s="114">
        <v>350</v>
      </c>
      <c r="AR45" s="114">
        <v>0</v>
      </c>
      <c r="AS45" s="114">
        <v>0</v>
      </c>
      <c r="AT45" s="114">
        <v>0</v>
      </c>
      <c r="AU45" s="212">
        <f t="shared" si="2"/>
        <v>350</v>
      </c>
      <c r="AV45" s="114">
        <v>0</v>
      </c>
      <c r="AW45" s="127">
        <v>450</v>
      </c>
      <c r="AX45" s="122" t="s">
        <v>679</v>
      </c>
      <c r="AY45" s="128" t="s">
        <v>747</v>
      </c>
      <c r="AZ45" s="128" t="s">
        <v>137</v>
      </c>
      <c r="BA45" s="128" t="s">
        <v>748</v>
      </c>
      <c r="BB45" s="114">
        <v>1</v>
      </c>
      <c r="BC45" s="204"/>
      <c r="BD45" s="204"/>
      <c r="BE45" s="213">
        <f t="shared" si="3"/>
        <v>0</v>
      </c>
      <c r="BF45" s="213">
        <f t="shared" si="4"/>
        <v>0</v>
      </c>
      <c r="BG45" s="213">
        <f t="shared" si="5"/>
        <v>0</v>
      </c>
      <c r="BH45" s="213">
        <f t="shared" si="6"/>
        <v>0</v>
      </c>
      <c r="BI45" s="213">
        <f t="shared" si="7"/>
        <v>0</v>
      </c>
      <c r="BJ45" s="213">
        <f t="shared" si="8"/>
        <v>0</v>
      </c>
      <c r="BK45" s="213">
        <f t="shared" si="9"/>
        <v>0</v>
      </c>
      <c r="BL45" s="213">
        <f t="shared" si="10"/>
        <v>0</v>
      </c>
      <c r="BM45" s="213">
        <f t="shared" si="11"/>
        <v>0</v>
      </c>
      <c r="BN45" s="213">
        <f t="shared" si="12"/>
        <v>0</v>
      </c>
      <c r="BO45" s="213">
        <f t="shared" si="13"/>
        <v>0</v>
      </c>
      <c r="BP45" s="213">
        <f t="shared" si="14"/>
        <v>0</v>
      </c>
      <c r="BQ45" s="205" t="str">
        <f t="shared" si="15"/>
        <v>03,10 2023.06.19</v>
      </c>
      <c r="BR45" s="205" t="str">
        <f t="shared" si="16"/>
        <v>05,00 2023.06.19</v>
      </c>
      <c r="BS45" s="206" t="str">
        <f t="shared" si="17"/>
        <v>В</v>
      </c>
      <c r="BT45" s="207">
        <f t="shared" si="18"/>
        <v>1.83</v>
      </c>
      <c r="BU45" s="212">
        <f t="shared" si="19"/>
        <v>350</v>
      </c>
      <c r="BV45" s="195">
        <f t="shared" si="20"/>
        <v>0</v>
      </c>
      <c r="BW45" s="195">
        <f t="shared" si="21"/>
        <v>0</v>
      </c>
      <c r="BX45" s="195">
        <f t="shared" si="22"/>
        <v>350</v>
      </c>
      <c r="BY45" s="195">
        <f t="shared" si="23"/>
        <v>0</v>
      </c>
      <c r="BZ45" s="195">
        <f t="shared" si="24"/>
        <v>0</v>
      </c>
      <c r="CA45" s="195">
        <f t="shared" si="25"/>
        <v>0</v>
      </c>
      <c r="CB45" s="212">
        <f t="shared" si="26"/>
        <v>350</v>
      </c>
      <c r="CC45" s="195">
        <f t="shared" si="27"/>
        <v>0</v>
      </c>
      <c r="CD45" s="214">
        <f t="shared" si="28"/>
        <v>1</v>
      </c>
      <c r="CE45" s="206"/>
      <c r="CF45" s="215">
        <f t="shared" si="29"/>
        <v>0</v>
      </c>
      <c r="CG45" s="215">
        <f t="shared" si="30"/>
        <v>0</v>
      </c>
      <c r="CH45" s="215">
        <f t="shared" si="31"/>
        <v>0</v>
      </c>
      <c r="CI45" s="215">
        <f t="shared" si="32"/>
        <v>0</v>
      </c>
      <c r="CJ45" s="215">
        <f t="shared" si="33"/>
        <v>0</v>
      </c>
      <c r="CK45" s="215">
        <f t="shared" si="34"/>
        <v>0</v>
      </c>
      <c r="CL45" s="215">
        <f t="shared" si="35"/>
        <v>0</v>
      </c>
      <c r="CM45" s="215">
        <f t="shared" si="36"/>
        <v>0</v>
      </c>
      <c r="CN45" s="215">
        <f t="shared" si="37"/>
        <v>0</v>
      </c>
      <c r="CO45" s="215">
        <f t="shared" si="38"/>
        <v>0</v>
      </c>
      <c r="CP45" s="215">
        <f t="shared" si="39"/>
        <v>0</v>
      </c>
      <c r="CQ45" s="215">
        <f t="shared" si="40"/>
        <v>0</v>
      </c>
      <c r="CR45" s="300"/>
    </row>
    <row r="46" spans="1:96" s="217" customFormat="1" ht="32.25" customHeight="1" x14ac:dyDescent="0.25">
      <c r="A46" s="208" t="s">
        <v>672</v>
      </c>
      <c r="B46" s="208"/>
      <c r="D46" s="208">
        <v>15</v>
      </c>
      <c r="AA46" s="210" t="s">
        <v>147</v>
      </c>
      <c r="AB46" s="211" t="s">
        <v>749</v>
      </c>
      <c r="AC46" s="122" t="s">
        <v>674</v>
      </c>
      <c r="AD46" s="123" t="s">
        <v>44</v>
      </c>
      <c r="AE46" s="122" t="s">
        <v>750</v>
      </c>
      <c r="AF46" s="124" t="s">
        <v>676</v>
      </c>
      <c r="AG46" s="24" t="s">
        <v>751</v>
      </c>
      <c r="AH46" s="24" t="s">
        <v>752</v>
      </c>
      <c r="AI46" s="125" t="s">
        <v>68</v>
      </c>
      <c r="AJ46" s="126">
        <v>1.58</v>
      </c>
      <c r="AK46" s="122" t="s">
        <v>44</v>
      </c>
      <c r="AL46" s="122" t="s">
        <v>46</v>
      </c>
      <c r="AM46" s="122" t="s">
        <v>46</v>
      </c>
      <c r="AN46" s="212">
        <f t="shared" si="1"/>
        <v>320</v>
      </c>
      <c r="AO46" s="114">
        <v>0</v>
      </c>
      <c r="AP46" s="114">
        <v>0</v>
      </c>
      <c r="AQ46" s="114">
        <v>320</v>
      </c>
      <c r="AR46" s="114">
        <v>0</v>
      </c>
      <c r="AS46" s="114">
        <v>0</v>
      </c>
      <c r="AT46" s="114">
        <v>5</v>
      </c>
      <c r="AU46" s="212">
        <f t="shared" si="2"/>
        <v>315</v>
      </c>
      <c r="AV46" s="114">
        <v>0</v>
      </c>
      <c r="AW46" s="127">
        <v>740</v>
      </c>
      <c r="AX46" s="122" t="s">
        <v>679</v>
      </c>
      <c r="AY46" s="128" t="s">
        <v>753</v>
      </c>
      <c r="AZ46" s="128" t="s">
        <v>137</v>
      </c>
      <c r="BA46" s="128" t="s">
        <v>748</v>
      </c>
      <c r="BB46" s="114">
        <v>1</v>
      </c>
      <c r="BC46" s="204"/>
      <c r="BD46" s="204"/>
      <c r="BE46" s="213">
        <f t="shared" si="3"/>
        <v>0</v>
      </c>
      <c r="BF46" s="213">
        <f t="shared" si="4"/>
        <v>0</v>
      </c>
      <c r="BG46" s="213">
        <f t="shared" si="5"/>
        <v>0</v>
      </c>
      <c r="BH46" s="213">
        <f t="shared" si="6"/>
        <v>0</v>
      </c>
      <c r="BI46" s="213">
        <f t="shared" si="7"/>
        <v>0</v>
      </c>
      <c r="BJ46" s="213">
        <f t="shared" si="8"/>
        <v>0</v>
      </c>
      <c r="BK46" s="213">
        <f t="shared" si="9"/>
        <v>0</v>
      </c>
      <c r="BL46" s="213">
        <f t="shared" si="10"/>
        <v>0</v>
      </c>
      <c r="BM46" s="213">
        <f t="shared" si="11"/>
        <v>0</v>
      </c>
      <c r="BN46" s="213">
        <f t="shared" si="12"/>
        <v>0</v>
      </c>
      <c r="BO46" s="213">
        <f t="shared" si="13"/>
        <v>0</v>
      </c>
      <c r="BP46" s="213">
        <f t="shared" si="14"/>
        <v>0</v>
      </c>
      <c r="BQ46" s="205" t="str">
        <f t="shared" si="15"/>
        <v>03,15 2023.06.19</v>
      </c>
      <c r="BR46" s="205" t="str">
        <f t="shared" si="16"/>
        <v>04,50 2023.06.19</v>
      </c>
      <c r="BS46" s="206" t="str">
        <f t="shared" si="17"/>
        <v>В</v>
      </c>
      <c r="BT46" s="207">
        <f t="shared" si="18"/>
        <v>1.58</v>
      </c>
      <c r="BU46" s="212">
        <f t="shared" si="19"/>
        <v>320</v>
      </c>
      <c r="BV46" s="195">
        <f t="shared" si="20"/>
        <v>0</v>
      </c>
      <c r="BW46" s="195">
        <f t="shared" si="21"/>
        <v>0</v>
      </c>
      <c r="BX46" s="195">
        <f t="shared" si="22"/>
        <v>320</v>
      </c>
      <c r="BY46" s="195">
        <f t="shared" si="23"/>
        <v>0</v>
      </c>
      <c r="BZ46" s="195">
        <f t="shared" si="24"/>
        <v>0</v>
      </c>
      <c r="CA46" s="195">
        <f t="shared" si="25"/>
        <v>5</v>
      </c>
      <c r="CB46" s="212">
        <f t="shared" si="26"/>
        <v>315</v>
      </c>
      <c r="CC46" s="195">
        <f t="shared" si="27"/>
        <v>0</v>
      </c>
      <c r="CD46" s="214">
        <f t="shared" si="28"/>
        <v>1</v>
      </c>
      <c r="CE46" s="206"/>
      <c r="CF46" s="215">
        <f t="shared" si="29"/>
        <v>0</v>
      </c>
      <c r="CG46" s="215">
        <f t="shared" si="30"/>
        <v>0</v>
      </c>
      <c r="CH46" s="215">
        <f t="shared" si="31"/>
        <v>0</v>
      </c>
      <c r="CI46" s="215">
        <f t="shared" si="32"/>
        <v>0</v>
      </c>
      <c r="CJ46" s="215">
        <f t="shared" si="33"/>
        <v>0</v>
      </c>
      <c r="CK46" s="215">
        <f t="shared" si="34"/>
        <v>0</v>
      </c>
      <c r="CL46" s="215">
        <f t="shared" si="35"/>
        <v>0</v>
      </c>
      <c r="CM46" s="215">
        <f t="shared" si="36"/>
        <v>0</v>
      </c>
      <c r="CN46" s="215">
        <f t="shared" si="37"/>
        <v>0</v>
      </c>
      <c r="CO46" s="215">
        <f t="shared" si="38"/>
        <v>0</v>
      </c>
      <c r="CP46" s="215">
        <f t="shared" si="39"/>
        <v>0</v>
      </c>
      <c r="CQ46" s="215">
        <f t="shared" si="40"/>
        <v>0</v>
      </c>
      <c r="CR46" s="300"/>
    </row>
    <row r="47" spans="1:96" s="217" customFormat="1" ht="32.25" customHeight="1" x14ac:dyDescent="0.25">
      <c r="A47" s="208" t="s">
        <v>672</v>
      </c>
      <c r="B47" s="208"/>
      <c r="D47" s="208">
        <v>15</v>
      </c>
      <c r="AA47" s="210" t="s">
        <v>147</v>
      </c>
      <c r="AB47" s="211" t="s">
        <v>754</v>
      </c>
      <c r="AC47" s="122" t="s">
        <v>674</v>
      </c>
      <c r="AD47" s="123" t="s">
        <v>44</v>
      </c>
      <c r="AE47" s="122" t="s">
        <v>755</v>
      </c>
      <c r="AF47" s="124" t="s">
        <v>676</v>
      </c>
      <c r="AG47" s="24" t="s">
        <v>756</v>
      </c>
      <c r="AH47" s="24" t="s">
        <v>757</v>
      </c>
      <c r="AI47" s="125" t="s">
        <v>68</v>
      </c>
      <c r="AJ47" s="126">
        <v>1.42</v>
      </c>
      <c r="AK47" s="122" t="s">
        <v>76</v>
      </c>
      <c r="AL47" s="122" t="s">
        <v>46</v>
      </c>
      <c r="AM47" s="122" t="s">
        <v>46</v>
      </c>
      <c r="AN47" s="212">
        <f t="shared" si="1"/>
        <v>270</v>
      </c>
      <c r="AO47" s="114">
        <v>0</v>
      </c>
      <c r="AP47" s="114">
        <v>0</v>
      </c>
      <c r="AQ47" s="114">
        <v>270</v>
      </c>
      <c r="AR47" s="114">
        <v>0</v>
      </c>
      <c r="AS47" s="114">
        <v>0</v>
      </c>
      <c r="AT47" s="114">
        <v>10</v>
      </c>
      <c r="AU47" s="212">
        <f t="shared" si="2"/>
        <v>260</v>
      </c>
      <c r="AV47" s="114">
        <v>0</v>
      </c>
      <c r="AW47" s="127">
        <v>770</v>
      </c>
      <c r="AX47" s="122" t="s">
        <v>679</v>
      </c>
      <c r="AY47" s="128" t="s">
        <v>758</v>
      </c>
      <c r="AZ47" s="128" t="s">
        <v>137</v>
      </c>
      <c r="BA47" s="128" t="s">
        <v>748</v>
      </c>
      <c r="BB47" s="114">
        <v>1</v>
      </c>
      <c r="BC47" s="204"/>
      <c r="BD47" s="204"/>
      <c r="BE47" s="213">
        <f t="shared" si="3"/>
        <v>0</v>
      </c>
      <c r="BF47" s="213">
        <f t="shared" si="4"/>
        <v>0</v>
      </c>
      <c r="BG47" s="213">
        <f t="shared" si="5"/>
        <v>0</v>
      </c>
      <c r="BH47" s="213">
        <f t="shared" si="6"/>
        <v>0</v>
      </c>
      <c r="BI47" s="213">
        <f t="shared" si="7"/>
        <v>0</v>
      </c>
      <c r="BJ47" s="213">
        <f t="shared" si="8"/>
        <v>0</v>
      </c>
      <c r="BK47" s="213">
        <f t="shared" si="9"/>
        <v>0</v>
      </c>
      <c r="BL47" s="213">
        <f t="shared" si="10"/>
        <v>0</v>
      </c>
      <c r="BM47" s="213">
        <f t="shared" si="11"/>
        <v>0</v>
      </c>
      <c r="BN47" s="213">
        <f t="shared" si="12"/>
        <v>0</v>
      </c>
      <c r="BO47" s="213">
        <f t="shared" si="13"/>
        <v>0</v>
      </c>
      <c r="BP47" s="213">
        <f t="shared" si="14"/>
        <v>0</v>
      </c>
      <c r="BQ47" s="205" t="str">
        <f t="shared" si="15"/>
        <v>03,30 2023.06.19</v>
      </c>
      <c r="BR47" s="205" t="str">
        <f t="shared" si="16"/>
        <v>04,55 2023.06.19</v>
      </c>
      <c r="BS47" s="206" t="str">
        <f t="shared" si="17"/>
        <v>В</v>
      </c>
      <c r="BT47" s="207">
        <f t="shared" si="18"/>
        <v>1.42</v>
      </c>
      <c r="BU47" s="212">
        <f t="shared" si="19"/>
        <v>270</v>
      </c>
      <c r="BV47" s="195">
        <f t="shared" si="20"/>
        <v>0</v>
      </c>
      <c r="BW47" s="195">
        <f t="shared" si="21"/>
        <v>0</v>
      </c>
      <c r="BX47" s="195">
        <f t="shared" si="22"/>
        <v>270</v>
      </c>
      <c r="BY47" s="195">
        <f t="shared" si="23"/>
        <v>0</v>
      </c>
      <c r="BZ47" s="195">
        <f t="shared" si="24"/>
        <v>0</v>
      </c>
      <c r="CA47" s="195">
        <f t="shared" si="25"/>
        <v>10</v>
      </c>
      <c r="CB47" s="212">
        <f t="shared" si="26"/>
        <v>260</v>
      </c>
      <c r="CC47" s="195">
        <f t="shared" si="27"/>
        <v>0</v>
      </c>
      <c r="CD47" s="214">
        <f t="shared" si="28"/>
        <v>1</v>
      </c>
      <c r="CE47" s="206"/>
      <c r="CF47" s="215">
        <f t="shared" si="29"/>
        <v>0</v>
      </c>
      <c r="CG47" s="215">
        <f t="shared" si="30"/>
        <v>0</v>
      </c>
      <c r="CH47" s="215">
        <f t="shared" si="31"/>
        <v>0</v>
      </c>
      <c r="CI47" s="215">
        <f t="shared" si="32"/>
        <v>0</v>
      </c>
      <c r="CJ47" s="215">
        <f t="shared" si="33"/>
        <v>0</v>
      </c>
      <c r="CK47" s="215">
        <f t="shared" si="34"/>
        <v>0</v>
      </c>
      <c r="CL47" s="215">
        <f t="shared" si="35"/>
        <v>0</v>
      </c>
      <c r="CM47" s="215">
        <f t="shared" si="36"/>
        <v>0</v>
      </c>
      <c r="CN47" s="215">
        <f t="shared" si="37"/>
        <v>0</v>
      </c>
      <c r="CO47" s="215">
        <f t="shared" si="38"/>
        <v>0</v>
      </c>
      <c r="CP47" s="215">
        <f t="shared" si="39"/>
        <v>0</v>
      </c>
      <c r="CQ47" s="215">
        <f t="shared" si="40"/>
        <v>0</v>
      </c>
      <c r="CR47" s="300"/>
    </row>
    <row r="48" spans="1:96" s="217" customFormat="1" ht="32.25" customHeight="1" x14ac:dyDescent="0.25">
      <c r="A48" s="208" t="s">
        <v>672</v>
      </c>
      <c r="B48" s="208"/>
      <c r="D48" s="208">
        <v>15</v>
      </c>
      <c r="AA48" s="210" t="s">
        <v>147</v>
      </c>
      <c r="AB48" s="211" t="s">
        <v>759</v>
      </c>
      <c r="AC48" s="122" t="s">
        <v>674</v>
      </c>
      <c r="AD48" s="123" t="s">
        <v>44</v>
      </c>
      <c r="AE48" s="122" t="s">
        <v>760</v>
      </c>
      <c r="AF48" s="124" t="s">
        <v>676</v>
      </c>
      <c r="AG48" s="24" t="s">
        <v>761</v>
      </c>
      <c r="AH48" s="24" t="s">
        <v>762</v>
      </c>
      <c r="AI48" s="125" t="s">
        <v>68</v>
      </c>
      <c r="AJ48" s="126">
        <v>1.08</v>
      </c>
      <c r="AK48" s="122" t="s">
        <v>44</v>
      </c>
      <c r="AL48" s="122" t="s">
        <v>46</v>
      </c>
      <c r="AM48" s="122" t="s">
        <v>46</v>
      </c>
      <c r="AN48" s="212">
        <f t="shared" si="1"/>
        <v>220</v>
      </c>
      <c r="AO48" s="114">
        <v>0</v>
      </c>
      <c r="AP48" s="114">
        <v>0</v>
      </c>
      <c r="AQ48" s="114">
        <v>220</v>
      </c>
      <c r="AR48" s="114">
        <v>0</v>
      </c>
      <c r="AS48" s="114">
        <v>0</v>
      </c>
      <c r="AT48" s="114">
        <v>20</v>
      </c>
      <c r="AU48" s="212">
        <f t="shared" si="2"/>
        <v>200</v>
      </c>
      <c r="AV48" s="114">
        <v>0</v>
      </c>
      <c r="AW48" s="127">
        <v>820</v>
      </c>
      <c r="AX48" s="122" t="s">
        <v>679</v>
      </c>
      <c r="AY48" s="128" t="s">
        <v>763</v>
      </c>
      <c r="AZ48" s="128" t="s">
        <v>126</v>
      </c>
      <c r="BA48" s="128" t="s">
        <v>737</v>
      </c>
      <c r="BB48" s="114">
        <v>1</v>
      </c>
      <c r="BC48" s="204"/>
      <c r="BD48" s="204"/>
      <c r="BE48" s="213">
        <f t="shared" si="3"/>
        <v>0</v>
      </c>
      <c r="BF48" s="213">
        <f t="shared" si="4"/>
        <v>0</v>
      </c>
      <c r="BG48" s="213">
        <f t="shared" si="5"/>
        <v>0</v>
      </c>
      <c r="BH48" s="213">
        <f t="shared" si="6"/>
        <v>0</v>
      </c>
      <c r="BI48" s="213">
        <f t="shared" si="7"/>
        <v>0</v>
      </c>
      <c r="BJ48" s="213">
        <f t="shared" si="8"/>
        <v>0</v>
      </c>
      <c r="BK48" s="213">
        <f t="shared" si="9"/>
        <v>0</v>
      </c>
      <c r="BL48" s="213">
        <f t="shared" si="10"/>
        <v>0</v>
      </c>
      <c r="BM48" s="213">
        <f t="shared" si="11"/>
        <v>0</v>
      </c>
      <c r="BN48" s="213">
        <f t="shared" si="12"/>
        <v>0</v>
      </c>
      <c r="BO48" s="213">
        <f t="shared" si="13"/>
        <v>0</v>
      </c>
      <c r="BP48" s="213">
        <f t="shared" si="14"/>
        <v>0</v>
      </c>
      <c r="BQ48" s="205" t="str">
        <f t="shared" si="15"/>
        <v>19,45 2023.06.28</v>
      </c>
      <c r="BR48" s="205" t="str">
        <f t="shared" si="16"/>
        <v>20,50 2023.06.28</v>
      </c>
      <c r="BS48" s="206" t="str">
        <f t="shared" si="17"/>
        <v>В</v>
      </c>
      <c r="BT48" s="207">
        <f t="shared" si="18"/>
        <v>1.08</v>
      </c>
      <c r="BU48" s="212">
        <f t="shared" si="19"/>
        <v>220</v>
      </c>
      <c r="BV48" s="195">
        <f t="shared" si="20"/>
        <v>0</v>
      </c>
      <c r="BW48" s="195">
        <f t="shared" si="21"/>
        <v>0</v>
      </c>
      <c r="BX48" s="195">
        <f t="shared" si="22"/>
        <v>220</v>
      </c>
      <c r="BY48" s="195">
        <f t="shared" si="23"/>
        <v>0</v>
      </c>
      <c r="BZ48" s="195">
        <f t="shared" si="24"/>
        <v>0</v>
      </c>
      <c r="CA48" s="195">
        <f t="shared" si="25"/>
        <v>20</v>
      </c>
      <c r="CB48" s="212">
        <f t="shared" si="26"/>
        <v>200</v>
      </c>
      <c r="CC48" s="195">
        <f t="shared" si="27"/>
        <v>0</v>
      </c>
      <c r="CD48" s="214">
        <f t="shared" si="28"/>
        <v>1</v>
      </c>
      <c r="CE48" s="206"/>
      <c r="CF48" s="215">
        <f t="shared" si="29"/>
        <v>0</v>
      </c>
      <c r="CG48" s="215">
        <f t="shared" si="30"/>
        <v>0</v>
      </c>
      <c r="CH48" s="215">
        <f t="shared" si="31"/>
        <v>0</v>
      </c>
      <c r="CI48" s="215">
        <f t="shared" si="32"/>
        <v>0</v>
      </c>
      <c r="CJ48" s="215">
        <f t="shared" si="33"/>
        <v>0</v>
      </c>
      <c r="CK48" s="215">
        <f t="shared" si="34"/>
        <v>0</v>
      </c>
      <c r="CL48" s="215">
        <f t="shared" si="35"/>
        <v>0</v>
      </c>
      <c r="CM48" s="215">
        <f t="shared" si="36"/>
        <v>0</v>
      </c>
      <c r="CN48" s="215">
        <f t="shared" si="37"/>
        <v>0</v>
      </c>
      <c r="CO48" s="215">
        <f t="shared" si="38"/>
        <v>0</v>
      </c>
      <c r="CP48" s="215">
        <f t="shared" si="39"/>
        <v>0</v>
      </c>
      <c r="CQ48" s="215">
        <f t="shared" si="40"/>
        <v>0</v>
      </c>
      <c r="CR48" s="300"/>
    </row>
    <row r="49" spans="1:96" s="217" customFormat="1" ht="32.25" customHeight="1" x14ac:dyDescent="0.25">
      <c r="A49" s="208" t="s">
        <v>672</v>
      </c>
      <c r="B49" s="208"/>
      <c r="D49" s="208">
        <v>15</v>
      </c>
      <c r="AA49" s="210" t="s">
        <v>147</v>
      </c>
      <c r="AB49" s="211" t="s">
        <v>764</v>
      </c>
      <c r="AC49" s="122" t="s">
        <v>674</v>
      </c>
      <c r="AD49" s="123" t="s">
        <v>44</v>
      </c>
      <c r="AE49" s="122" t="s">
        <v>765</v>
      </c>
      <c r="AF49" s="124" t="s">
        <v>676</v>
      </c>
      <c r="AG49" s="24" t="s">
        <v>766</v>
      </c>
      <c r="AH49" s="24" t="s">
        <v>767</v>
      </c>
      <c r="AI49" s="125" t="s">
        <v>68</v>
      </c>
      <c r="AJ49" s="126">
        <v>1.25</v>
      </c>
      <c r="AK49" s="122" t="s">
        <v>76</v>
      </c>
      <c r="AL49" s="122" t="s">
        <v>46</v>
      </c>
      <c r="AM49" s="122" t="s">
        <v>46</v>
      </c>
      <c r="AN49" s="212">
        <f t="shared" si="1"/>
        <v>200</v>
      </c>
      <c r="AO49" s="114">
        <v>0</v>
      </c>
      <c r="AP49" s="114">
        <v>0</v>
      </c>
      <c r="AQ49" s="114">
        <v>200</v>
      </c>
      <c r="AR49" s="114">
        <v>0</v>
      </c>
      <c r="AS49" s="114">
        <v>0</v>
      </c>
      <c r="AT49" s="114">
        <v>10</v>
      </c>
      <c r="AU49" s="212">
        <f t="shared" si="2"/>
        <v>190</v>
      </c>
      <c r="AV49" s="114">
        <v>0</v>
      </c>
      <c r="AW49" s="127">
        <v>950</v>
      </c>
      <c r="AX49" s="122" t="s">
        <v>679</v>
      </c>
      <c r="AY49" s="128" t="s">
        <v>768</v>
      </c>
      <c r="AZ49" s="128" t="s">
        <v>126</v>
      </c>
      <c r="BA49" s="128" t="s">
        <v>681</v>
      </c>
      <c r="BB49" s="114">
        <v>0</v>
      </c>
      <c r="BC49" s="204"/>
      <c r="BD49" s="204"/>
      <c r="BE49" s="213">
        <f t="shared" si="3"/>
        <v>0</v>
      </c>
      <c r="BF49" s="213">
        <f t="shared" si="4"/>
        <v>0</v>
      </c>
      <c r="BG49" s="213">
        <f t="shared" si="5"/>
        <v>0</v>
      </c>
      <c r="BH49" s="213">
        <f t="shared" si="6"/>
        <v>0</v>
      </c>
      <c r="BI49" s="213">
        <f t="shared" si="7"/>
        <v>0</v>
      </c>
      <c r="BJ49" s="213">
        <f t="shared" si="8"/>
        <v>0</v>
      </c>
      <c r="BK49" s="213">
        <f t="shared" si="9"/>
        <v>0</v>
      </c>
      <c r="BL49" s="213">
        <f t="shared" si="10"/>
        <v>0</v>
      </c>
      <c r="BM49" s="213">
        <f t="shared" si="11"/>
        <v>0</v>
      </c>
      <c r="BN49" s="213">
        <f t="shared" si="12"/>
        <v>0</v>
      </c>
      <c r="BO49" s="213">
        <f t="shared" si="13"/>
        <v>0</v>
      </c>
      <c r="BP49" s="213">
        <f t="shared" si="14"/>
        <v>0</v>
      </c>
      <c r="BQ49" s="205" t="str">
        <f t="shared" si="15"/>
        <v>11,35 2023.06.13</v>
      </c>
      <c r="BR49" s="205" t="str">
        <f t="shared" si="16"/>
        <v>12,50 2023.06.13</v>
      </c>
      <c r="BS49" s="206" t="str">
        <f t="shared" si="17"/>
        <v>В</v>
      </c>
      <c r="BT49" s="207">
        <f t="shared" si="18"/>
        <v>1.25</v>
      </c>
      <c r="BU49" s="212">
        <f t="shared" si="19"/>
        <v>200</v>
      </c>
      <c r="BV49" s="195">
        <f t="shared" si="20"/>
        <v>0</v>
      </c>
      <c r="BW49" s="195">
        <f t="shared" si="21"/>
        <v>0</v>
      </c>
      <c r="BX49" s="195">
        <f t="shared" si="22"/>
        <v>200</v>
      </c>
      <c r="BY49" s="195">
        <f t="shared" si="23"/>
        <v>0</v>
      </c>
      <c r="BZ49" s="195">
        <f t="shared" si="24"/>
        <v>0</v>
      </c>
      <c r="CA49" s="195">
        <f t="shared" si="25"/>
        <v>10</v>
      </c>
      <c r="CB49" s="212">
        <f t="shared" si="26"/>
        <v>190</v>
      </c>
      <c r="CC49" s="195">
        <f t="shared" si="27"/>
        <v>0</v>
      </c>
      <c r="CD49" s="214">
        <f t="shared" si="28"/>
        <v>0</v>
      </c>
      <c r="CE49" s="206"/>
      <c r="CF49" s="215">
        <f t="shared" si="29"/>
        <v>0</v>
      </c>
      <c r="CG49" s="215">
        <f t="shared" si="30"/>
        <v>0</v>
      </c>
      <c r="CH49" s="215">
        <f t="shared" si="31"/>
        <v>0</v>
      </c>
      <c r="CI49" s="215">
        <f t="shared" si="32"/>
        <v>0</v>
      </c>
      <c r="CJ49" s="215">
        <f t="shared" si="33"/>
        <v>0</v>
      </c>
      <c r="CK49" s="215">
        <f t="shared" si="34"/>
        <v>0</v>
      </c>
      <c r="CL49" s="215">
        <f t="shared" si="35"/>
        <v>0</v>
      </c>
      <c r="CM49" s="215">
        <f t="shared" si="36"/>
        <v>0</v>
      </c>
      <c r="CN49" s="215">
        <f t="shared" si="37"/>
        <v>0</v>
      </c>
      <c r="CO49" s="215">
        <f t="shared" si="38"/>
        <v>0</v>
      </c>
      <c r="CP49" s="215">
        <f t="shared" si="39"/>
        <v>0</v>
      </c>
      <c r="CQ49" s="215">
        <f t="shared" si="40"/>
        <v>0</v>
      </c>
      <c r="CR49" s="300"/>
    </row>
    <row r="50" spans="1:96" s="217" customFormat="1" ht="32.25" customHeight="1" x14ac:dyDescent="0.25">
      <c r="A50" s="208" t="s">
        <v>672</v>
      </c>
      <c r="B50" s="208"/>
      <c r="D50" s="208">
        <v>15</v>
      </c>
      <c r="AA50" s="210" t="s">
        <v>147</v>
      </c>
      <c r="AB50" s="211" t="s">
        <v>769</v>
      </c>
      <c r="AC50" s="122" t="s">
        <v>674</v>
      </c>
      <c r="AD50" s="123" t="s">
        <v>44</v>
      </c>
      <c r="AE50" s="122" t="s">
        <v>770</v>
      </c>
      <c r="AF50" s="124" t="s">
        <v>676</v>
      </c>
      <c r="AG50" s="24" t="s">
        <v>771</v>
      </c>
      <c r="AH50" s="24" t="s">
        <v>772</v>
      </c>
      <c r="AI50" s="125" t="s">
        <v>68</v>
      </c>
      <c r="AJ50" s="126">
        <v>0.57999999999999996</v>
      </c>
      <c r="AK50" s="122" t="s">
        <v>76</v>
      </c>
      <c r="AL50" s="122" t="s">
        <v>46</v>
      </c>
      <c r="AM50" s="122" t="s">
        <v>46</v>
      </c>
      <c r="AN50" s="212">
        <f t="shared" si="1"/>
        <v>350</v>
      </c>
      <c r="AO50" s="114">
        <v>0</v>
      </c>
      <c r="AP50" s="114">
        <v>0</v>
      </c>
      <c r="AQ50" s="114">
        <v>350</v>
      </c>
      <c r="AR50" s="114">
        <v>0</v>
      </c>
      <c r="AS50" s="114">
        <v>0</v>
      </c>
      <c r="AT50" s="114">
        <v>50</v>
      </c>
      <c r="AU50" s="212">
        <f t="shared" si="2"/>
        <v>300</v>
      </c>
      <c r="AV50" s="114">
        <v>0</v>
      </c>
      <c r="AW50" s="127">
        <v>0</v>
      </c>
      <c r="AX50" s="122" t="s">
        <v>679</v>
      </c>
      <c r="AY50" s="128" t="s">
        <v>773</v>
      </c>
      <c r="AZ50" s="128" t="s">
        <v>126</v>
      </c>
      <c r="BA50" s="128" t="s">
        <v>681</v>
      </c>
      <c r="BB50" s="114">
        <v>0</v>
      </c>
      <c r="BC50" s="204"/>
      <c r="BD50" s="204"/>
      <c r="BE50" s="213">
        <f t="shared" si="3"/>
        <v>0</v>
      </c>
      <c r="BF50" s="213">
        <f t="shared" si="4"/>
        <v>0</v>
      </c>
      <c r="BG50" s="213">
        <f t="shared" si="5"/>
        <v>0</v>
      </c>
      <c r="BH50" s="213">
        <f t="shared" si="6"/>
        <v>0</v>
      </c>
      <c r="BI50" s="213">
        <f t="shared" si="7"/>
        <v>0</v>
      </c>
      <c r="BJ50" s="213">
        <f t="shared" si="8"/>
        <v>0</v>
      </c>
      <c r="BK50" s="213">
        <f t="shared" si="9"/>
        <v>0</v>
      </c>
      <c r="BL50" s="213">
        <f t="shared" si="10"/>
        <v>0</v>
      </c>
      <c r="BM50" s="213">
        <f t="shared" si="11"/>
        <v>0</v>
      </c>
      <c r="BN50" s="213">
        <f t="shared" si="12"/>
        <v>0</v>
      </c>
      <c r="BO50" s="213">
        <f t="shared" si="13"/>
        <v>0</v>
      </c>
      <c r="BP50" s="213">
        <f t="shared" si="14"/>
        <v>0</v>
      </c>
      <c r="BQ50" s="205" t="str">
        <f t="shared" si="15"/>
        <v>10,35 2023.07.07</v>
      </c>
      <c r="BR50" s="205" t="str">
        <f t="shared" si="16"/>
        <v>11,10 2023.07.07</v>
      </c>
      <c r="BS50" s="206" t="str">
        <f t="shared" si="17"/>
        <v>В</v>
      </c>
      <c r="BT50" s="207">
        <f t="shared" si="18"/>
        <v>0.57999999999999996</v>
      </c>
      <c r="BU50" s="212">
        <f t="shared" si="19"/>
        <v>350</v>
      </c>
      <c r="BV50" s="195">
        <f t="shared" si="20"/>
        <v>0</v>
      </c>
      <c r="BW50" s="195">
        <f t="shared" si="21"/>
        <v>0</v>
      </c>
      <c r="BX50" s="195">
        <f t="shared" si="22"/>
        <v>350</v>
      </c>
      <c r="BY50" s="195">
        <f t="shared" si="23"/>
        <v>0</v>
      </c>
      <c r="BZ50" s="195">
        <f t="shared" si="24"/>
        <v>0</v>
      </c>
      <c r="CA50" s="195">
        <f t="shared" si="25"/>
        <v>50</v>
      </c>
      <c r="CB50" s="212">
        <f t="shared" si="26"/>
        <v>300</v>
      </c>
      <c r="CC50" s="195">
        <f t="shared" si="27"/>
        <v>0</v>
      </c>
      <c r="CD50" s="214">
        <f t="shared" si="28"/>
        <v>0</v>
      </c>
      <c r="CE50" s="206"/>
      <c r="CF50" s="215">
        <f t="shared" si="29"/>
        <v>0</v>
      </c>
      <c r="CG50" s="215">
        <f t="shared" si="30"/>
        <v>0</v>
      </c>
      <c r="CH50" s="215">
        <f t="shared" si="31"/>
        <v>0</v>
      </c>
      <c r="CI50" s="215">
        <f t="shared" si="32"/>
        <v>0</v>
      </c>
      <c r="CJ50" s="215">
        <f t="shared" si="33"/>
        <v>0</v>
      </c>
      <c r="CK50" s="215">
        <f t="shared" si="34"/>
        <v>0</v>
      </c>
      <c r="CL50" s="215">
        <f t="shared" si="35"/>
        <v>0</v>
      </c>
      <c r="CM50" s="215">
        <f t="shared" si="36"/>
        <v>0</v>
      </c>
      <c r="CN50" s="215">
        <f t="shared" si="37"/>
        <v>0</v>
      </c>
      <c r="CO50" s="215">
        <f t="shared" si="38"/>
        <v>0</v>
      </c>
      <c r="CP50" s="215">
        <f t="shared" si="39"/>
        <v>0</v>
      </c>
      <c r="CQ50" s="215">
        <f t="shared" si="40"/>
        <v>0</v>
      </c>
      <c r="CR50" s="300"/>
    </row>
    <row r="51" spans="1:96" s="217" customFormat="1" ht="32.25" customHeight="1" x14ac:dyDescent="0.25">
      <c r="A51" s="208" t="s">
        <v>672</v>
      </c>
      <c r="B51" s="208"/>
      <c r="D51" s="208">
        <v>15</v>
      </c>
      <c r="AA51" s="210" t="s">
        <v>147</v>
      </c>
      <c r="AB51" s="211" t="s">
        <v>774</v>
      </c>
      <c r="AC51" s="122" t="s">
        <v>674</v>
      </c>
      <c r="AD51" s="123" t="s">
        <v>44</v>
      </c>
      <c r="AE51" s="122" t="s">
        <v>775</v>
      </c>
      <c r="AF51" s="124" t="s">
        <v>676</v>
      </c>
      <c r="AG51" s="24" t="s">
        <v>776</v>
      </c>
      <c r="AH51" s="24" t="s">
        <v>777</v>
      </c>
      <c r="AI51" s="125" t="s">
        <v>68</v>
      </c>
      <c r="AJ51" s="126">
        <v>0.67</v>
      </c>
      <c r="AK51" s="122" t="s">
        <v>76</v>
      </c>
      <c r="AL51" s="122" t="s">
        <v>46</v>
      </c>
      <c r="AM51" s="122" t="s">
        <v>46</v>
      </c>
      <c r="AN51" s="212">
        <f t="shared" si="1"/>
        <v>120</v>
      </c>
      <c r="AO51" s="114">
        <v>0</v>
      </c>
      <c r="AP51" s="114">
        <v>0</v>
      </c>
      <c r="AQ51" s="114">
        <v>120</v>
      </c>
      <c r="AR51" s="114">
        <v>0</v>
      </c>
      <c r="AS51" s="114">
        <v>0</v>
      </c>
      <c r="AT51" s="114">
        <v>20</v>
      </c>
      <c r="AU51" s="212">
        <f t="shared" si="2"/>
        <v>100</v>
      </c>
      <c r="AV51" s="114">
        <v>0</v>
      </c>
      <c r="AW51" s="127">
        <v>370</v>
      </c>
      <c r="AX51" s="122" t="s">
        <v>679</v>
      </c>
      <c r="AY51" s="128" t="s">
        <v>778</v>
      </c>
      <c r="AZ51" s="128" t="s">
        <v>126</v>
      </c>
      <c r="BA51" s="128" t="s">
        <v>737</v>
      </c>
      <c r="BB51" s="114">
        <v>1</v>
      </c>
      <c r="BC51" s="204"/>
      <c r="BD51" s="204"/>
      <c r="BE51" s="213">
        <f t="shared" si="3"/>
        <v>0</v>
      </c>
      <c r="BF51" s="213">
        <f t="shared" si="4"/>
        <v>0</v>
      </c>
      <c r="BG51" s="213">
        <f t="shared" si="5"/>
        <v>0</v>
      </c>
      <c r="BH51" s="213">
        <f t="shared" si="6"/>
        <v>0</v>
      </c>
      <c r="BI51" s="213">
        <f t="shared" si="7"/>
        <v>0</v>
      </c>
      <c r="BJ51" s="213">
        <f t="shared" si="8"/>
        <v>0</v>
      </c>
      <c r="BK51" s="213">
        <f t="shared" si="9"/>
        <v>0</v>
      </c>
      <c r="BL51" s="213">
        <f t="shared" si="10"/>
        <v>0</v>
      </c>
      <c r="BM51" s="213">
        <f t="shared" si="11"/>
        <v>0</v>
      </c>
      <c r="BN51" s="213">
        <f t="shared" si="12"/>
        <v>0</v>
      </c>
      <c r="BO51" s="213">
        <f t="shared" si="13"/>
        <v>0</v>
      </c>
      <c r="BP51" s="213">
        <f t="shared" si="14"/>
        <v>0</v>
      </c>
      <c r="BQ51" s="205" t="str">
        <f t="shared" si="15"/>
        <v>12,55 2023.07.17</v>
      </c>
      <c r="BR51" s="205" t="str">
        <f t="shared" si="16"/>
        <v>13,35 2023.07.17</v>
      </c>
      <c r="BS51" s="206" t="str">
        <f t="shared" si="17"/>
        <v>В</v>
      </c>
      <c r="BT51" s="207">
        <f t="shared" si="18"/>
        <v>0.67</v>
      </c>
      <c r="BU51" s="212">
        <f t="shared" si="19"/>
        <v>120</v>
      </c>
      <c r="BV51" s="195">
        <f t="shared" si="20"/>
        <v>0</v>
      </c>
      <c r="BW51" s="195">
        <f t="shared" si="21"/>
        <v>0</v>
      </c>
      <c r="BX51" s="195">
        <f t="shared" si="22"/>
        <v>120</v>
      </c>
      <c r="BY51" s="195">
        <f t="shared" si="23"/>
        <v>0</v>
      </c>
      <c r="BZ51" s="195">
        <f t="shared" si="24"/>
        <v>0</v>
      </c>
      <c r="CA51" s="195">
        <f t="shared" si="25"/>
        <v>20</v>
      </c>
      <c r="CB51" s="212">
        <f t="shared" si="26"/>
        <v>100</v>
      </c>
      <c r="CC51" s="195">
        <f t="shared" si="27"/>
        <v>0</v>
      </c>
      <c r="CD51" s="214">
        <f t="shared" si="28"/>
        <v>1</v>
      </c>
      <c r="CE51" s="206"/>
      <c r="CF51" s="215">
        <f t="shared" si="29"/>
        <v>0</v>
      </c>
      <c r="CG51" s="215">
        <f t="shared" si="30"/>
        <v>0</v>
      </c>
      <c r="CH51" s="215">
        <f t="shared" si="31"/>
        <v>0</v>
      </c>
      <c r="CI51" s="215">
        <f t="shared" si="32"/>
        <v>0</v>
      </c>
      <c r="CJ51" s="215">
        <f t="shared" si="33"/>
        <v>0</v>
      </c>
      <c r="CK51" s="215">
        <f t="shared" si="34"/>
        <v>0</v>
      </c>
      <c r="CL51" s="215">
        <f t="shared" si="35"/>
        <v>0</v>
      </c>
      <c r="CM51" s="215">
        <f t="shared" si="36"/>
        <v>0</v>
      </c>
      <c r="CN51" s="215">
        <f t="shared" si="37"/>
        <v>0</v>
      </c>
      <c r="CO51" s="215">
        <f t="shared" si="38"/>
        <v>0</v>
      </c>
      <c r="CP51" s="215">
        <f t="shared" si="39"/>
        <v>0</v>
      </c>
      <c r="CQ51" s="215">
        <f t="shared" si="40"/>
        <v>0</v>
      </c>
      <c r="CR51" s="300"/>
    </row>
    <row r="52" spans="1:96" s="217" customFormat="1" ht="32.25" customHeight="1" x14ac:dyDescent="0.25">
      <c r="A52" s="208" t="s">
        <v>672</v>
      </c>
      <c r="B52" s="208"/>
      <c r="D52" s="208">
        <v>15</v>
      </c>
      <c r="AA52" s="210" t="s">
        <v>147</v>
      </c>
      <c r="AB52" s="211" t="s">
        <v>779</v>
      </c>
      <c r="AC52" s="122" t="s">
        <v>674</v>
      </c>
      <c r="AD52" s="123" t="s">
        <v>44</v>
      </c>
      <c r="AE52" s="122" t="s">
        <v>780</v>
      </c>
      <c r="AF52" s="124" t="s">
        <v>676</v>
      </c>
      <c r="AG52" s="24" t="s">
        <v>781</v>
      </c>
      <c r="AH52" s="24" t="s">
        <v>782</v>
      </c>
      <c r="AI52" s="125" t="s">
        <v>68</v>
      </c>
      <c r="AJ52" s="126">
        <v>1.5</v>
      </c>
      <c r="AK52" s="122" t="s">
        <v>44</v>
      </c>
      <c r="AL52" s="122" t="s">
        <v>46</v>
      </c>
      <c r="AM52" s="122" t="s">
        <v>46</v>
      </c>
      <c r="AN52" s="212">
        <f t="shared" si="1"/>
        <v>350</v>
      </c>
      <c r="AO52" s="114">
        <v>0</v>
      </c>
      <c r="AP52" s="114">
        <v>0</v>
      </c>
      <c r="AQ52" s="114">
        <v>350</v>
      </c>
      <c r="AR52" s="114">
        <v>0</v>
      </c>
      <c r="AS52" s="114">
        <v>0</v>
      </c>
      <c r="AT52" s="114">
        <v>45</v>
      </c>
      <c r="AU52" s="212">
        <f t="shared" si="2"/>
        <v>305</v>
      </c>
      <c r="AV52" s="114">
        <v>0</v>
      </c>
      <c r="AW52" s="127">
        <v>980</v>
      </c>
      <c r="AX52" s="122" t="s">
        <v>679</v>
      </c>
      <c r="AY52" s="128" t="s">
        <v>783</v>
      </c>
      <c r="AZ52" s="128" t="s">
        <v>126</v>
      </c>
      <c r="BA52" s="128" t="s">
        <v>737</v>
      </c>
      <c r="BB52" s="114">
        <v>1</v>
      </c>
      <c r="BC52" s="204"/>
      <c r="BD52" s="204"/>
      <c r="BE52" s="213">
        <f t="shared" si="3"/>
        <v>0</v>
      </c>
      <c r="BF52" s="213">
        <f t="shared" si="4"/>
        <v>0</v>
      </c>
      <c r="BG52" s="213">
        <f t="shared" si="5"/>
        <v>0</v>
      </c>
      <c r="BH52" s="213">
        <f t="shared" si="6"/>
        <v>0</v>
      </c>
      <c r="BI52" s="213">
        <f t="shared" si="7"/>
        <v>0</v>
      </c>
      <c r="BJ52" s="213">
        <f t="shared" si="8"/>
        <v>0</v>
      </c>
      <c r="BK52" s="213">
        <f t="shared" si="9"/>
        <v>0</v>
      </c>
      <c r="BL52" s="213">
        <f t="shared" si="10"/>
        <v>0</v>
      </c>
      <c r="BM52" s="213">
        <f t="shared" si="11"/>
        <v>0</v>
      </c>
      <c r="BN52" s="213">
        <f t="shared" si="12"/>
        <v>0</v>
      </c>
      <c r="BO52" s="213">
        <f t="shared" si="13"/>
        <v>0</v>
      </c>
      <c r="BP52" s="213">
        <f t="shared" si="14"/>
        <v>0</v>
      </c>
      <c r="BQ52" s="205" t="str">
        <f t="shared" si="15"/>
        <v>02,55 2023.07.08</v>
      </c>
      <c r="BR52" s="205" t="str">
        <f t="shared" si="16"/>
        <v>04,25 2023.07.08</v>
      </c>
      <c r="BS52" s="206" t="str">
        <f t="shared" si="17"/>
        <v>В</v>
      </c>
      <c r="BT52" s="207">
        <f t="shared" si="18"/>
        <v>1.5</v>
      </c>
      <c r="BU52" s="212">
        <f t="shared" si="19"/>
        <v>350</v>
      </c>
      <c r="BV52" s="195">
        <f t="shared" si="20"/>
        <v>0</v>
      </c>
      <c r="BW52" s="195">
        <f t="shared" si="21"/>
        <v>0</v>
      </c>
      <c r="BX52" s="195">
        <f t="shared" si="22"/>
        <v>350</v>
      </c>
      <c r="BY52" s="195">
        <f t="shared" si="23"/>
        <v>0</v>
      </c>
      <c r="BZ52" s="195">
        <f t="shared" si="24"/>
        <v>0</v>
      </c>
      <c r="CA52" s="195">
        <f t="shared" si="25"/>
        <v>45</v>
      </c>
      <c r="CB52" s="212">
        <f t="shared" si="26"/>
        <v>305</v>
      </c>
      <c r="CC52" s="195">
        <f t="shared" si="27"/>
        <v>0</v>
      </c>
      <c r="CD52" s="214">
        <f t="shared" si="28"/>
        <v>1</v>
      </c>
      <c r="CE52" s="206"/>
      <c r="CF52" s="215">
        <f t="shared" si="29"/>
        <v>0</v>
      </c>
      <c r="CG52" s="215">
        <f t="shared" si="30"/>
        <v>0</v>
      </c>
      <c r="CH52" s="215">
        <f t="shared" si="31"/>
        <v>0</v>
      </c>
      <c r="CI52" s="215">
        <f t="shared" si="32"/>
        <v>0</v>
      </c>
      <c r="CJ52" s="215">
        <f t="shared" si="33"/>
        <v>0</v>
      </c>
      <c r="CK52" s="215">
        <f t="shared" si="34"/>
        <v>0</v>
      </c>
      <c r="CL52" s="215">
        <f t="shared" si="35"/>
        <v>0</v>
      </c>
      <c r="CM52" s="215">
        <f t="shared" si="36"/>
        <v>0</v>
      </c>
      <c r="CN52" s="215">
        <f t="shared" si="37"/>
        <v>0</v>
      </c>
      <c r="CO52" s="215">
        <f t="shared" si="38"/>
        <v>0</v>
      </c>
      <c r="CP52" s="215">
        <f t="shared" si="39"/>
        <v>0</v>
      </c>
      <c r="CQ52" s="215">
        <f t="shared" si="40"/>
        <v>0</v>
      </c>
      <c r="CR52" s="300"/>
    </row>
    <row r="53" spans="1:96" s="217" customFormat="1" ht="32.25" customHeight="1" x14ac:dyDescent="0.25">
      <c r="A53" s="208" t="s">
        <v>672</v>
      </c>
      <c r="B53" s="208"/>
      <c r="D53" s="208">
        <v>15</v>
      </c>
      <c r="AA53" s="210" t="s">
        <v>147</v>
      </c>
      <c r="AB53" s="211" t="s">
        <v>784</v>
      </c>
      <c r="AC53" s="122" t="s">
        <v>674</v>
      </c>
      <c r="AD53" s="123" t="s">
        <v>44</v>
      </c>
      <c r="AE53" s="122" t="s">
        <v>785</v>
      </c>
      <c r="AF53" s="124" t="s">
        <v>676</v>
      </c>
      <c r="AG53" s="24" t="s">
        <v>781</v>
      </c>
      <c r="AH53" s="24" t="s">
        <v>786</v>
      </c>
      <c r="AI53" s="125" t="s">
        <v>68</v>
      </c>
      <c r="AJ53" s="126">
        <v>1.75</v>
      </c>
      <c r="AK53" s="122" t="s">
        <v>76</v>
      </c>
      <c r="AL53" s="122" t="s">
        <v>46</v>
      </c>
      <c r="AM53" s="122" t="s">
        <v>46</v>
      </c>
      <c r="AN53" s="212">
        <f t="shared" si="1"/>
        <v>330</v>
      </c>
      <c r="AO53" s="114">
        <v>0</v>
      </c>
      <c r="AP53" s="114">
        <v>0</v>
      </c>
      <c r="AQ53" s="114">
        <v>330</v>
      </c>
      <c r="AR53" s="114">
        <v>0</v>
      </c>
      <c r="AS53" s="114">
        <v>0</v>
      </c>
      <c r="AT53" s="114">
        <v>30</v>
      </c>
      <c r="AU53" s="212">
        <f t="shared" si="2"/>
        <v>300</v>
      </c>
      <c r="AV53" s="114">
        <v>0</v>
      </c>
      <c r="AW53" s="127">
        <v>1100</v>
      </c>
      <c r="AX53" s="122" t="s">
        <v>679</v>
      </c>
      <c r="AY53" s="128" t="s">
        <v>787</v>
      </c>
      <c r="AZ53" s="128" t="s">
        <v>126</v>
      </c>
      <c r="BA53" s="128" t="s">
        <v>737</v>
      </c>
      <c r="BB53" s="114">
        <v>1</v>
      </c>
      <c r="BC53" s="204"/>
      <c r="BD53" s="204"/>
      <c r="BE53" s="213">
        <f t="shared" si="3"/>
        <v>0</v>
      </c>
      <c r="BF53" s="213">
        <f t="shared" si="4"/>
        <v>0</v>
      </c>
      <c r="BG53" s="213">
        <f t="shared" si="5"/>
        <v>0</v>
      </c>
      <c r="BH53" s="213">
        <f t="shared" si="6"/>
        <v>0</v>
      </c>
      <c r="BI53" s="213">
        <f t="shared" si="7"/>
        <v>0</v>
      </c>
      <c r="BJ53" s="213">
        <f t="shared" si="8"/>
        <v>0</v>
      </c>
      <c r="BK53" s="213">
        <f t="shared" si="9"/>
        <v>0</v>
      </c>
      <c r="BL53" s="213">
        <f t="shared" si="10"/>
        <v>0</v>
      </c>
      <c r="BM53" s="213">
        <f t="shared" si="11"/>
        <v>0</v>
      </c>
      <c r="BN53" s="213">
        <f t="shared" si="12"/>
        <v>0</v>
      </c>
      <c r="BO53" s="213">
        <f t="shared" si="13"/>
        <v>0</v>
      </c>
      <c r="BP53" s="213">
        <f t="shared" si="14"/>
        <v>0</v>
      </c>
      <c r="BQ53" s="205" t="str">
        <f t="shared" si="15"/>
        <v>02,55 2023.07.08</v>
      </c>
      <c r="BR53" s="205" t="str">
        <f t="shared" si="16"/>
        <v>04,40 2023.07.08</v>
      </c>
      <c r="BS53" s="206" t="str">
        <f t="shared" si="17"/>
        <v>В</v>
      </c>
      <c r="BT53" s="207">
        <f t="shared" si="18"/>
        <v>1.75</v>
      </c>
      <c r="BU53" s="212">
        <f t="shared" si="19"/>
        <v>330</v>
      </c>
      <c r="BV53" s="195">
        <f t="shared" si="20"/>
        <v>0</v>
      </c>
      <c r="BW53" s="195">
        <f t="shared" si="21"/>
        <v>0</v>
      </c>
      <c r="BX53" s="195">
        <f t="shared" si="22"/>
        <v>330</v>
      </c>
      <c r="BY53" s="195">
        <f t="shared" si="23"/>
        <v>0</v>
      </c>
      <c r="BZ53" s="195">
        <f t="shared" si="24"/>
        <v>0</v>
      </c>
      <c r="CA53" s="195">
        <f t="shared" si="25"/>
        <v>30</v>
      </c>
      <c r="CB53" s="212">
        <f t="shared" si="26"/>
        <v>300</v>
      </c>
      <c r="CC53" s="195">
        <f t="shared" si="27"/>
        <v>0</v>
      </c>
      <c r="CD53" s="214">
        <f t="shared" si="28"/>
        <v>1</v>
      </c>
      <c r="CE53" s="206"/>
      <c r="CF53" s="215">
        <f t="shared" si="29"/>
        <v>0</v>
      </c>
      <c r="CG53" s="215">
        <f t="shared" si="30"/>
        <v>0</v>
      </c>
      <c r="CH53" s="215">
        <f t="shared" si="31"/>
        <v>0</v>
      </c>
      <c r="CI53" s="215">
        <f t="shared" si="32"/>
        <v>0</v>
      </c>
      <c r="CJ53" s="215">
        <f t="shared" si="33"/>
        <v>0</v>
      </c>
      <c r="CK53" s="215">
        <f t="shared" si="34"/>
        <v>0</v>
      </c>
      <c r="CL53" s="215">
        <f t="shared" si="35"/>
        <v>0</v>
      </c>
      <c r="CM53" s="215">
        <f t="shared" si="36"/>
        <v>0</v>
      </c>
      <c r="CN53" s="215">
        <f t="shared" si="37"/>
        <v>0</v>
      </c>
      <c r="CO53" s="215">
        <f t="shared" si="38"/>
        <v>0</v>
      </c>
      <c r="CP53" s="215">
        <f t="shared" si="39"/>
        <v>0</v>
      </c>
      <c r="CQ53" s="215">
        <f t="shared" si="40"/>
        <v>0</v>
      </c>
      <c r="CR53" s="300"/>
    </row>
    <row r="54" spans="1:96" s="217" customFormat="1" ht="32.25" customHeight="1" x14ac:dyDescent="0.25">
      <c r="A54" s="208" t="s">
        <v>672</v>
      </c>
      <c r="B54" s="208"/>
      <c r="D54" s="208">
        <v>15</v>
      </c>
      <c r="AA54" s="210" t="s">
        <v>147</v>
      </c>
      <c r="AB54" s="211" t="s">
        <v>788</v>
      </c>
      <c r="AC54" s="122" t="s">
        <v>674</v>
      </c>
      <c r="AD54" s="123" t="s">
        <v>44</v>
      </c>
      <c r="AE54" s="122" t="s">
        <v>789</v>
      </c>
      <c r="AF54" s="124" t="s">
        <v>676</v>
      </c>
      <c r="AG54" s="24" t="s">
        <v>790</v>
      </c>
      <c r="AH54" s="24" t="s">
        <v>791</v>
      </c>
      <c r="AI54" s="125" t="s">
        <v>68</v>
      </c>
      <c r="AJ54" s="126">
        <v>1.33</v>
      </c>
      <c r="AK54" s="122" t="s">
        <v>76</v>
      </c>
      <c r="AL54" s="122" t="s">
        <v>46</v>
      </c>
      <c r="AM54" s="122" t="s">
        <v>46</v>
      </c>
      <c r="AN54" s="212">
        <f t="shared" si="1"/>
        <v>220</v>
      </c>
      <c r="AO54" s="114">
        <v>0</v>
      </c>
      <c r="AP54" s="114">
        <v>0</v>
      </c>
      <c r="AQ54" s="114">
        <v>220</v>
      </c>
      <c r="AR54" s="114">
        <v>0</v>
      </c>
      <c r="AS54" s="114">
        <v>0</v>
      </c>
      <c r="AT54" s="114">
        <v>20</v>
      </c>
      <c r="AU54" s="212">
        <f t="shared" si="2"/>
        <v>200</v>
      </c>
      <c r="AV54" s="114">
        <v>0</v>
      </c>
      <c r="AW54" s="127">
        <v>760</v>
      </c>
      <c r="AX54" s="122" t="s">
        <v>679</v>
      </c>
      <c r="AY54" s="128" t="s">
        <v>792</v>
      </c>
      <c r="AZ54" s="128" t="s">
        <v>126</v>
      </c>
      <c r="BA54" s="128" t="s">
        <v>737</v>
      </c>
      <c r="BB54" s="114">
        <v>1</v>
      </c>
      <c r="BC54" s="204"/>
      <c r="BD54" s="204"/>
      <c r="BE54" s="213">
        <f t="shared" si="3"/>
        <v>0</v>
      </c>
      <c r="BF54" s="213">
        <f t="shared" si="4"/>
        <v>0</v>
      </c>
      <c r="BG54" s="213">
        <f t="shared" si="5"/>
        <v>0</v>
      </c>
      <c r="BH54" s="213">
        <f t="shared" si="6"/>
        <v>0</v>
      </c>
      <c r="BI54" s="213">
        <f t="shared" si="7"/>
        <v>0</v>
      </c>
      <c r="BJ54" s="213">
        <f t="shared" si="8"/>
        <v>0</v>
      </c>
      <c r="BK54" s="213">
        <f t="shared" si="9"/>
        <v>0</v>
      </c>
      <c r="BL54" s="213">
        <f t="shared" si="10"/>
        <v>0</v>
      </c>
      <c r="BM54" s="213">
        <f t="shared" si="11"/>
        <v>0</v>
      </c>
      <c r="BN54" s="213">
        <f t="shared" si="12"/>
        <v>0</v>
      </c>
      <c r="BO54" s="213">
        <f t="shared" si="13"/>
        <v>0</v>
      </c>
      <c r="BP54" s="213">
        <f t="shared" si="14"/>
        <v>0</v>
      </c>
      <c r="BQ54" s="205" t="str">
        <f t="shared" si="15"/>
        <v>04,00 2023.07.08</v>
      </c>
      <c r="BR54" s="205" t="str">
        <f t="shared" si="16"/>
        <v>05,20 2023.07.08</v>
      </c>
      <c r="BS54" s="206" t="str">
        <f t="shared" si="17"/>
        <v>В</v>
      </c>
      <c r="BT54" s="207">
        <f t="shared" si="18"/>
        <v>1.33</v>
      </c>
      <c r="BU54" s="212">
        <f t="shared" si="19"/>
        <v>220</v>
      </c>
      <c r="BV54" s="195">
        <f t="shared" si="20"/>
        <v>0</v>
      </c>
      <c r="BW54" s="195">
        <f t="shared" si="21"/>
        <v>0</v>
      </c>
      <c r="BX54" s="195">
        <f t="shared" si="22"/>
        <v>220</v>
      </c>
      <c r="BY54" s="195">
        <f t="shared" si="23"/>
        <v>0</v>
      </c>
      <c r="BZ54" s="195">
        <f t="shared" si="24"/>
        <v>0</v>
      </c>
      <c r="CA54" s="195">
        <f t="shared" si="25"/>
        <v>20</v>
      </c>
      <c r="CB54" s="212">
        <f t="shared" si="26"/>
        <v>200</v>
      </c>
      <c r="CC54" s="195">
        <f t="shared" si="27"/>
        <v>0</v>
      </c>
      <c r="CD54" s="214">
        <f t="shared" si="28"/>
        <v>1</v>
      </c>
      <c r="CE54" s="206"/>
      <c r="CF54" s="215">
        <f t="shared" si="29"/>
        <v>0</v>
      </c>
      <c r="CG54" s="215">
        <f t="shared" si="30"/>
        <v>0</v>
      </c>
      <c r="CH54" s="215">
        <f t="shared" si="31"/>
        <v>0</v>
      </c>
      <c r="CI54" s="215">
        <f t="shared" si="32"/>
        <v>0</v>
      </c>
      <c r="CJ54" s="215">
        <f t="shared" si="33"/>
        <v>0</v>
      </c>
      <c r="CK54" s="215">
        <f t="shared" si="34"/>
        <v>0</v>
      </c>
      <c r="CL54" s="215">
        <f t="shared" si="35"/>
        <v>0</v>
      </c>
      <c r="CM54" s="215">
        <f t="shared" si="36"/>
        <v>0</v>
      </c>
      <c r="CN54" s="215">
        <f t="shared" si="37"/>
        <v>0</v>
      </c>
      <c r="CO54" s="215">
        <f t="shared" si="38"/>
        <v>0</v>
      </c>
      <c r="CP54" s="215">
        <f t="shared" si="39"/>
        <v>0</v>
      </c>
      <c r="CQ54" s="215">
        <f t="shared" si="40"/>
        <v>0</v>
      </c>
      <c r="CR54" s="300"/>
    </row>
    <row r="55" spans="1:96" s="217" customFormat="1" ht="32.25" customHeight="1" x14ac:dyDescent="0.25">
      <c r="A55" s="208" t="s">
        <v>672</v>
      </c>
      <c r="B55" s="208"/>
      <c r="D55" s="208">
        <v>15</v>
      </c>
      <c r="AA55" s="210" t="s">
        <v>147</v>
      </c>
      <c r="AB55" s="211" t="s">
        <v>793</v>
      </c>
      <c r="AC55" s="122" t="s">
        <v>674</v>
      </c>
      <c r="AD55" s="123" t="s">
        <v>44</v>
      </c>
      <c r="AE55" s="122" t="s">
        <v>794</v>
      </c>
      <c r="AF55" s="124" t="s">
        <v>676</v>
      </c>
      <c r="AG55" s="24" t="s">
        <v>795</v>
      </c>
      <c r="AH55" s="24" t="s">
        <v>796</v>
      </c>
      <c r="AI55" s="125" t="s">
        <v>68</v>
      </c>
      <c r="AJ55" s="126">
        <v>0.92</v>
      </c>
      <c r="AK55" s="122" t="s">
        <v>76</v>
      </c>
      <c r="AL55" s="122" t="s">
        <v>46</v>
      </c>
      <c r="AM55" s="122" t="s">
        <v>46</v>
      </c>
      <c r="AN55" s="212">
        <f t="shared" si="1"/>
        <v>190</v>
      </c>
      <c r="AO55" s="114">
        <v>0</v>
      </c>
      <c r="AP55" s="114">
        <v>0</v>
      </c>
      <c r="AQ55" s="114">
        <v>190</v>
      </c>
      <c r="AR55" s="114">
        <v>0</v>
      </c>
      <c r="AS55" s="114">
        <v>0</v>
      </c>
      <c r="AT55" s="114">
        <v>40</v>
      </c>
      <c r="AU55" s="212">
        <f t="shared" si="2"/>
        <v>150</v>
      </c>
      <c r="AV55" s="114">
        <v>0</v>
      </c>
      <c r="AW55" s="127">
        <v>1400</v>
      </c>
      <c r="AX55" s="122" t="s">
        <v>679</v>
      </c>
      <c r="AY55" s="128" t="s">
        <v>797</v>
      </c>
      <c r="AZ55" s="128" t="s">
        <v>126</v>
      </c>
      <c r="BA55" s="128" t="s">
        <v>737</v>
      </c>
      <c r="BB55" s="114">
        <v>1</v>
      </c>
      <c r="BC55" s="204"/>
      <c r="BD55" s="204"/>
      <c r="BE55" s="213">
        <f t="shared" si="3"/>
        <v>0</v>
      </c>
      <c r="BF55" s="213">
        <f t="shared" si="4"/>
        <v>0</v>
      </c>
      <c r="BG55" s="213">
        <f t="shared" si="5"/>
        <v>0</v>
      </c>
      <c r="BH55" s="213">
        <f t="shared" si="6"/>
        <v>0</v>
      </c>
      <c r="BI55" s="213">
        <f t="shared" si="7"/>
        <v>0</v>
      </c>
      <c r="BJ55" s="213">
        <f t="shared" si="8"/>
        <v>0</v>
      </c>
      <c r="BK55" s="213">
        <f t="shared" si="9"/>
        <v>0</v>
      </c>
      <c r="BL55" s="213">
        <f t="shared" si="10"/>
        <v>0</v>
      </c>
      <c r="BM55" s="213">
        <f t="shared" si="11"/>
        <v>0</v>
      </c>
      <c r="BN55" s="213">
        <f t="shared" si="12"/>
        <v>0</v>
      </c>
      <c r="BO55" s="213">
        <f t="shared" si="13"/>
        <v>0</v>
      </c>
      <c r="BP55" s="213">
        <f t="shared" si="14"/>
        <v>0</v>
      </c>
      <c r="BQ55" s="205" t="str">
        <f t="shared" si="15"/>
        <v>13,45 2023.07.18</v>
      </c>
      <c r="BR55" s="205" t="str">
        <f t="shared" si="16"/>
        <v>14,40 2023.07.18</v>
      </c>
      <c r="BS55" s="206" t="str">
        <f t="shared" si="17"/>
        <v>В</v>
      </c>
      <c r="BT55" s="207">
        <f t="shared" si="18"/>
        <v>0.92</v>
      </c>
      <c r="BU55" s="212">
        <f t="shared" si="19"/>
        <v>190</v>
      </c>
      <c r="BV55" s="195">
        <f t="shared" si="20"/>
        <v>0</v>
      </c>
      <c r="BW55" s="195">
        <f t="shared" si="21"/>
        <v>0</v>
      </c>
      <c r="BX55" s="195">
        <f t="shared" si="22"/>
        <v>190</v>
      </c>
      <c r="BY55" s="195">
        <f t="shared" si="23"/>
        <v>0</v>
      </c>
      <c r="BZ55" s="195">
        <f t="shared" si="24"/>
        <v>0</v>
      </c>
      <c r="CA55" s="195">
        <f t="shared" si="25"/>
        <v>40</v>
      </c>
      <c r="CB55" s="212">
        <f t="shared" si="26"/>
        <v>150</v>
      </c>
      <c r="CC55" s="195">
        <f t="shared" si="27"/>
        <v>0</v>
      </c>
      <c r="CD55" s="214">
        <f t="shared" si="28"/>
        <v>1</v>
      </c>
      <c r="CE55" s="206"/>
      <c r="CF55" s="215">
        <f t="shared" si="29"/>
        <v>0</v>
      </c>
      <c r="CG55" s="215">
        <f t="shared" si="30"/>
        <v>0</v>
      </c>
      <c r="CH55" s="215">
        <f t="shared" si="31"/>
        <v>0</v>
      </c>
      <c r="CI55" s="215">
        <f t="shared" si="32"/>
        <v>0</v>
      </c>
      <c r="CJ55" s="215">
        <f t="shared" si="33"/>
        <v>0</v>
      </c>
      <c r="CK55" s="215">
        <f t="shared" si="34"/>
        <v>0</v>
      </c>
      <c r="CL55" s="215">
        <f t="shared" si="35"/>
        <v>0</v>
      </c>
      <c r="CM55" s="215">
        <f t="shared" si="36"/>
        <v>0</v>
      </c>
      <c r="CN55" s="215">
        <f t="shared" si="37"/>
        <v>0</v>
      </c>
      <c r="CO55" s="215">
        <f t="shared" si="38"/>
        <v>0</v>
      </c>
      <c r="CP55" s="215">
        <f t="shared" si="39"/>
        <v>0</v>
      </c>
      <c r="CQ55" s="215">
        <f t="shared" si="40"/>
        <v>0</v>
      </c>
      <c r="CR55" s="300"/>
    </row>
    <row r="56" spans="1:96" s="217" customFormat="1" ht="32.25" customHeight="1" x14ac:dyDescent="0.25">
      <c r="A56" s="208" t="s">
        <v>672</v>
      </c>
      <c r="B56" s="208"/>
      <c r="D56" s="208">
        <v>15</v>
      </c>
      <c r="AA56" s="210" t="s">
        <v>147</v>
      </c>
      <c r="AB56" s="211" t="s">
        <v>798</v>
      </c>
      <c r="AC56" s="122" t="s">
        <v>674</v>
      </c>
      <c r="AD56" s="123" t="s">
        <v>44</v>
      </c>
      <c r="AE56" s="122" t="s">
        <v>799</v>
      </c>
      <c r="AF56" s="124" t="s">
        <v>676</v>
      </c>
      <c r="AG56" s="24" t="s">
        <v>800</v>
      </c>
      <c r="AH56" s="24" t="s">
        <v>801</v>
      </c>
      <c r="AI56" s="125" t="s">
        <v>68</v>
      </c>
      <c r="AJ56" s="126">
        <v>1</v>
      </c>
      <c r="AK56" s="122" t="s">
        <v>76</v>
      </c>
      <c r="AL56" s="122" t="s">
        <v>46</v>
      </c>
      <c r="AM56" s="122" t="s">
        <v>46</v>
      </c>
      <c r="AN56" s="212">
        <f t="shared" si="1"/>
        <v>400</v>
      </c>
      <c r="AO56" s="114">
        <v>0</v>
      </c>
      <c r="AP56" s="114">
        <v>0</v>
      </c>
      <c r="AQ56" s="114">
        <v>400</v>
      </c>
      <c r="AR56" s="114">
        <v>0</v>
      </c>
      <c r="AS56" s="114">
        <v>0</v>
      </c>
      <c r="AT56" s="114">
        <v>50</v>
      </c>
      <c r="AU56" s="212">
        <f t="shared" si="2"/>
        <v>350</v>
      </c>
      <c r="AV56" s="114">
        <v>0</v>
      </c>
      <c r="AW56" s="127">
        <v>1280</v>
      </c>
      <c r="AX56" s="122" t="s">
        <v>679</v>
      </c>
      <c r="AY56" s="128" t="s">
        <v>802</v>
      </c>
      <c r="AZ56" s="128" t="s">
        <v>126</v>
      </c>
      <c r="BA56" s="128" t="s">
        <v>737</v>
      </c>
      <c r="BB56" s="114">
        <v>1</v>
      </c>
      <c r="BC56" s="204"/>
      <c r="BD56" s="204"/>
      <c r="BE56" s="213">
        <f t="shared" si="3"/>
        <v>0</v>
      </c>
      <c r="BF56" s="213">
        <f t="shared" si="4"/>
        <v>0</v>
      </c>
      <c r="BG56" s="213">
        <f t="shared" si="5"/>
        <v>0</v>
      </c>
      <c r="BH56" s="213">
        <f t="shared" si="6"/>
        <v>0</v>
      </c>
      <c r="BI56" s="213">
        <f t="shared" si="7"/>
        <v>0</v>
      </c>
      <c r="BJ56" s="213">
        <f t="shared" si="8"/>
        <v>0</v>
      </c>
      <c r="BK56" s="213">
        <f t="shared" si="9"/>
        <v>0</v>
      </c>
      <c r="BL56" s="213">
        <f t="shared" si="10"/>
        <v>0</v>
      </c>
      <c r="BM56" s="213">
        <f t="shared" si="11"/>
        <v>0</v>
      </c>
      <c r="BN56" s="213">
        <f t="shared" si="12"/>
        <v>0</v>
      </c>
      <c r="BO56" s="213">
        <f t="shared" si="13"/>
        <v>0</v>
      </c>
      <c r="BP56" s="213">
        <f t="shared" si="14"/>
        <v>0</v>
      </c>
      <c r="BQ56" s="205" t="str">
        <f t="shared" si="15"/>
        <v>13,15 2023.08.07</v>
      </c>
      <c r="BR56" s="205" t="str">
        <f t="shared" si="16"/>
        <v>14,15 2023.08.07</v>
      </c>
      <c r="BS56" s="206" t="str">
        <f t="shared" si="17"/>
        <v>В</v>
      </c>
      <c r="BT56" s="207">
        <f t="shared" si="18"/>
        <v>1</v>
      </c>
      <c r="BU56" s="212">
        <f t="shared" si="19"/>
        <v>400</v>
      </c>
      <c r="BV56" s="195">
        <f t="shared" si="20"/>
        <v>0</v>
      </c>
      <c r="BW56" s="195">
        <f t="shared" si="21"/>
        <v>0</v>
      </c>
      <c r="BX56" s="195">
        <f t="shared" si="22"/>
        <v>400</v>
      </c>
      <c r="BY56" s="195">
        <f t="shared" si="23"/>
        <v>0</v>
      </c>
      <c r="BZ56" s="195">
        <f t="shared" si="24"/>
        <v>0</v>
      </c>
      <c r="CA56" s="195">
        <f t="shared" si="25"/>
        <v>50</v>
      </c>
      <c r="CB56" s="212">
        <f t="shared" si="26"/>
        <v>350</v>
      </c>
      <c r="CC56" s="195">
        <f t="shared" si="27"/>
        <v>0</v>
      </c>
      <c r="CD56" s="214">
        <f t="shared" si="28"/>
        <v>1</v>
      </c>
      <c r="CE56" s="206"/>
      <c r="CF56" s="215">
        <f t="shared" si="29"/>
        <v>0</v>
      </c>
      <c r="CG56" s="215">
        <f t="shared" si="30"/>
        <v>0</v>
      </c>
      <c r="CH56" s="215">
        <f t="shared" si="31"/>
        <v>0</v>
      </c>
      <c r="CI56" s="215">
        <f t="shared" si="32"/>
        <v>0</v>
      </c>
      <c r="CJ56" s="215">
        <f t="shared" si="33"/>
        <v>0</v>
      </c>
      <c r="CK56" s="215">
        <f t="shared" si="34"/>
        <v>0</v>
      </c>
      <c r="CL56" s="215">
        <f t="shared" si="35"/>
        <v>0</v>
      </c>
      <c r="CM56" s="215">
        <f t="shared" si="36"/>
        <v>0</v>
      </c>
      <c r="CN56" s="215">
        <f t="shared" si="37"/>
        <v>0</v>
      </c>
      <c r="CO56" s="215">
        <f t="shared" si="38"/>
        <v>0</v>
      </c>
      <c r="CP56" s="215">
        <f t="shared" si="39"/>
        <v>0</v>
      </c>
      <c r="CQ56" s="215">
        <f t="shared" si="40"/>
        <v>0</v>
      </c>
      <c r="CR56" s="300"/>
    </row>
    <row r="57" spans="1:96" s="217" customFormat="1" ht="32.25" customHeight="1" x14ac:dyDescent="0.25">
      <c r="A57" s="208" t="s">
        <v>672</v>
      </c>
      <c r="B57" s="208"/>
      <c r="D57" s="208">
        <v>15</v>
      </c>
      <c r="AA57" s="210" t="s">
        <v>147</v>
      </c>
      <c r="AB57" s="211" t="s">
        <v>803</v>
      </c>
      <c r="AC57" s="122" t="s">
        <v>674</v>
      </c>
      <c r="AD57" s="123" t="s">
        <v>44</v>
      </c>
      <c r="AE57" s="122" t="s">
        <v>804</v>
      </c>
      <c r="AF57" s="124" t="s">
        <v>676</v>
      </c>
      <c r="AG57" s="24" t="s">
        <v>805</v>
      </c>
      <c r="AH57" s="24" t="s">
        <v>806</v>
      </c>
      <c r="AI57" s="125" t="s">
        <v>68</v>
      </c>
      <c r="AJ57" s="126">
        <v>2</v>
      </c>
      <c r="AK57" s="122" t="s">
        <v>76</v>
      </c>
      <c r="AL57" s="122" t="s">
        <v>46</v>
      </c>
      <c r="AM57" s="122" t="s">
        <v>46</v>
      </c>
      <c r="AN57" s="212">
        <f t="shared" si="1"/>
        <v>250</v>
      </c>
      <c r="AO57" s="114">
        <v>0</v>
      </c>
      <c r="AP57" s="114">
        <v>0</v>
      </c>
      <c r="AQ57" s="114">
        <v>250</v>
      </c>
      <c r="AR57" s="114">
        <v>0</v>
      </c>
      <c r="AS57" s="114">
        <v>0</v>
      </c>
      <c r="AT57" s="114">
        <v>46</v>
      </c>
      <c r="AU57" s="212">
        <f t="shared" si="2"/>
        <v>204</v>
      </c>
      <c r="AV57" s="114">
        <v>0</v>
      </c>
      <c r="AW57" s="127">
        <v>840</v>
      </c>
      <c r="AX57" s="122" t="s">
        <v>679</v>
      </c>
      <c r="AY57" s="128" t="s">
        <v>807</v>
      </c>
      <c r="AZ57" s="128" t="s">
        <v>126</v>
      </c>
      <c r="BA57" s="128" t="s">
        <v>737</v>
      </c>
      <c r="BB57" s="114">
        <v>1</v>
      </c>
      <c r="BC57" s="204"/>
      <c r="BD57" s="204"/>
      <c r="BE57" s="213">
        <f t="shared" si="3"/>
        <v>0</v>
      </c>
      <c r="BF57" s="213">
        <f t="shared" si="4"/>
        <v>0</v>
      </c>
      <c r="BG57" s="213">
        <f t="shared" si="5"/>
        <v>0</v>
      </c>
      <c r="BH57" s="213">
        <f t="shared" si="6"/>
        <v>0</v>
      </c>
      <c r="BI57" s="213">
        <f t="shared" si="7"/>
        <v>0</v>
      </c>
      <c r="BJ57" s="213">
        <f t="shared" si="8"/>
        <v>0</v>
      </c>
      <c r="BK57" s="213">
        <f t="shared" si="9"/>
        <v>0</v>
      </c>
      <c r="BL57" s="213">
        <f t="shared" si="10"/>
        <v>0</v>
      </c>
      <c r="BM57" s="213">
        <f t="shared" si="11"/>
        <v>0</v>
      </c>
      <c r="BN57" s="213">
        <f t="shared" si="12"/>
        <v>0</v>
      </c>
      <c r="BO57" s="213">
        <f t="shared" si="13"/>
        <v>0</v>
      </c>
      <c r="BP57" s="213">
        <f t="shared" si="14"/>
        <v>0</v>
      </c>
      <c r="BQ57" s="205" t="str">
        <f t="shared" si="15"/>
        <v>04,30 2023.08.18</v>
      </c>
      <c r="BR57" s="205" t="str">
        <f t="shared" si="16"/>
        <v>06,30 2023.08.18</v>
      </c>
      <c r="BS57" s="206" t="str">
        <f t="shared" si="17"/>
        <v>В</v>
      </c>
      <c r="BT57" s="207">
        <f t="shared" si="18"/>
        <v>2</v>
      </c>
      <c r="BU57" s="212">
        <f t="shared" si="19"/>
        <v>250</v>
      </c>
      <c r="BV57" s="195">
        <f t="shared" si="20"/>
        <v>0</v>
      </c>
      <c r="BW57" s="195">
        <f t="shared" si="21"/>
        <v>0</v>
      </c>
      <c r="BX57" s="195">
        <f t="shared" si="22"/>
        <v>250</v>
      </c>
      <c r="BY57" s="195">
        <f t="shared" si="23"/>
        <v>0</v>
      </c>
      <c r="BZ57" s="195">
        <f t="shared" si="24"/>
        <v>0</v>
      </c>
      <c r="CA57" s="195">
        <f t="shared" si="25"/>
        <v>46</v>
      </c>
      <c r="CB57" s="212">
        <f t="shared" si="26"/>
        <v>204</v>
      </c>
      <c r="CC57" s="195">
        <f t="shared" si="27"/>
        <v>0</v>
      </c>
      <c r="CD57" s="214">
        <f t="shared" si="28"/>
        <v>1</v>
      </c>
      <c r="CE57" s="206"/>
      <c r="CF57" s="215">
        <f t="shared" si="29"/>
        <v>0</v>
      </c>
      <c r="CG57" s="215">
        <f t="shared" si="30"/>
        <v>0</v>
      </c>
      <c r="CH57" s="215">
        <f t="shared" si="31"/>
        <v>0</v>
      </c>
      <c r="CI57" s="215">
        <f t="shared" si="32"/>
        <v>0</v>
      </c>
      <c r="CJ57" s="215">
        <f t="shared" si="33"/>
        <v>0</v>
      </c>
      <c r="CK57" s="215">
        <f t="shared" si="34"/>
        <v>0</v>
      </c>
      <c r="CL57" s="215">
        <f t="shared" si="35"/>
        <v>0</v>
      </c>
      <c r="CM57" s="215">
        <f t="shared" si="36"/>
        <v>0</v>
      </c>
      <c r="CN57" s="215">
        <f t="shared" si="37"/>
        <v>0</v>
      </c>
      <c r="CO57" s="215">
        <f t="shared" si="38"/>
        <v>0</v>
      </c>
      <c r="CP57" s="215">
        <f t="shared" si="39"/>
        <v>0</v>
      </c>
      <c r="CQ57" s="215">
        <f t="shared" si="40"/>
        <v>0</v>
      </c>
      <c r="CR57" s="300"/>
    </row>
    <row r="58" spans="1:96" s="217" customFormat="1" ht="32.25" customHeight="1" x14ac:dyDescent="0.25">
      <c r="A58" s="208" t="s">
        <v>672</v>
      </c>
      <c r="B58" s="208"/>
      <c r="D58" s="208">
        <v>15</v>
      </c>
      <c r="AA58" s="210" t="s">
        <v>147</v>
      </c>
      <c r="AB58" s="211" t="s">
        <v>808</v>
      </c>
      <c r="AC58" s="122" t="s">
        <v>674</v>
      </c>
      <c r="AD58" s="123" t="s">
        <v>44</v>
      </c>
      <c r="AE58" s="122" t="s">
        <v>809</v>
      </c>
      <c r="AF58" s="124" t="s">
        <v>676</v>
      </c>
      <c r="AG58" s="24" t="s">
        <v>810</v>
      </c>
      <c r="AH58" s="24" t="s">
        <v>811</v>
      </c>
      <c r="AI58" s="125" t="s">
        <v>68</v>
      </c>
      <c r="AJ58" s="126">
        <v>0.67</v>
      </c>
      <c r="AK58" s="122" t="s">
        <v>76</v>
      </c>
      <c r="AL58" s="122" t="s">
        <v>46</v>
      </c>
      <c r="AM58" s="122" t="s">
        <v>46</v>
      </c>
      <c r="AN58" s="212">
        <f t="shared" si="1"/>
        <v>235</v>
      </c>
      <c r="AO58" s="114">
        <v>0</v>
      </c>
      <c r="AP58" s="114">
        <v>0</v>
      </c>
      <c r="AQ58" s="114">
        <v>235</v>
      </c>
      <c r="AR58" s="114">
        <v>0</v>
      </c>
      <c r="AS58" s="114">
        <v>0</v>
      </c>
      <c r="AT58" s="114">
        <v>40</v>
      </c>
      <c r="AU58" s="212">
        <f t="shared" si="2"/>
        <v>195</v>
      </c>
      <c r="AV58" s="114">
        <v>0</v>
      </c>
      <c r="AW58" s="127">
        <v>845</v>
      </c>
      <c r="AX58" s="122" t="s">
        <v>679</v>
      </c>
      <c r="AY58" s="128" t="s">
        <v>812</v>
      </c>
      <c r="AZ58" s="128" t="s">
        <v>126</v>
      </c>
      <c r="BA58" s="128" t="s">
        <v>737</v>
      </c>
      <c r="BB58" s="114">
        <v>1</v>
      </c>
      <c r="BC58" s="204"/>
      <c r="BD58" s="204"/>
      <c r="BE58" s="213">
        <f t="shared" si="3"/>
        <v>0</v>
      </c>
      <c r="BF58" s="213">
        <f t="shared" si="4"/>
        <v>0</v>
      </c>
      <c r="BG58" s="213">
        <f t="shared" si="5"/>
        <v>0</v>
      </c>
      <c r="BH58" s="213">
        <f t="shared" si="6"/>
        <v>0</v>
      </c>
      <c r="BI58" s="213">
        <f t="shared" si="7"/>
        <v>0</v>
      </c>
      <c r="BJ58" s="213">
        <f t="shared" si="8"/>
        <v>0</v>
      </c>
      <c r="BK58" s="213">
        <f t="shared" si="9"/>
        <v>0</v>
      </c>
      <c r="BL58" s="213">
        <f t="shared" si="10"/>
        <v>0</v>
      </c>
      <c r="BM58" s="213">
        <f t="shared" si="11"/>
        <v>0</v>
      </c>
      <c r="BN58" s="213">
        <f t="shared" si="12"/>
        <v>0</v>
      </c>
      <c r="BO58" s="213">
        <f t="shared" si="13"/>
        <v>0</v>
      </c>
      <c r="BP58" s="213">
        <f t="shared" si="14"/>
        <v>0</v>
      </c>
      <c r="BQ58" s="205" t="str">
        <f t="shared" si="15"/>
        <v>15,20 2023.08.23</v>
      </c>
      <c r="BR58" s="205" t="str">
        <f t="shared" si="16"/>
        <v>16,00 2023.08.23</v>
      </c>
      <c r="BS58" s="206" t="str">
        <f t="shared" si="17"/>
        <v>В</v>
      </c>
      <c r="BT58" s="207">
        <f t="shared" si="18"/>
        <v>0.67</v>
      </c>
      <c r="BU58" s="212">
        <f t="shared" si="19"/>
        <v>235</v>
      </c>
      <c r="BV58" s="195">
        <f t="shared" si="20"/>
        <v>0</v>
      </c>
      <c r="BW58" s="195">
        <f t="shared" si="21"/>
        <v>0</v>
      </c>
      <c r="BX58" s="195">
        <f t="shared" si="22"/>
        <v>235</v>
      </c>
      <c r="BY58" s="195">
        <f t="shared" si="23"/>
        <v>0</v>
      </c>
      <c r="BZ58" s="195">
        <f t="shared" si="24"/>
        <v>0</v>
      </c>
      <c r="CA58" s="195">
        <f t="shared" si="25"/>
        <v>40</v>
      </c>
      <c r="CB58" s="212">
        <f t="shared" si="26"/>
        <v>195</v>
      </c>
      <c r="CC58" s="195">
        <f t="shared" si="27"/>
        <v>0</v>
      </c>
      <c r="CD58" s="214">
        <f t="shared" si="28"/>
        <v>1</v>
      </c>
      <c r="CE58" s="206"/>
      <c r="CF58" s="215">
        <f t="shared" si="29"/>
        <v>0</v>
      </c>
      <c r="CG58" s="215">
        <f t="shared" si="30"/>
        <v>0</v>
      </c>
      <c r="CH58" s="215">
        <f t="shared" si="31"/>
        <v>0</v>
      </c>
      <c r="CI58" s="215">
        <f t="shared" si="32"/>
        <v>0</v>
      </c>
      <c r="CJ58" s="215">
        <f t="shared" si="33"/>
        <v>0</v>
      </c>
      <c r="CK58" s="215">
        <f t="shared" si="34"/>
        <v>0</v>
      </c>
      <c r="CL58" s="215">
        <f t="shared" si="35"/>
        <v>0</v>
      </c>
      <c r="CM58" s="215">
        <f t="shared" si="36"/>
        <v>0</v>
      </c>
      <c r="CN58" s="215">
        <f t="shared" si="37"/>
        <v>0</v>
      </c>
      <c r="CO58" s="215">
        <f t="shared" si="38"/>
        <v>0</v>
      </c>
      <c r="CP58" s="215">
        <f t="shared" si="39"/>
        <v>0</v>
      </c>
      <c r="CQ58" s="215">
        <f t="shared" si="40"/>
        <v>0</v>
      </c>
      <c r="CR58" s="300"/>
    </row>
    <row r="59" spans="1:96" s="217" customFormat="1" ht="26.25" customHeight="1" x14ac:dyDescent="0.25">
      <c r="A59" s="208" t="s">
        <v>672</v>
      </c>
      <c r="B59" s="208"/>
      <c r="D59" s="208">
        <v>15</v>
      </c>
      <c r="AA59" s="210" t="s">
        <v>147</v>
      </c>
      <c r="AB59" s="211" t="s">
        <v>813</v>
      </c>
      <c r="AC59" s="122" t="s">
        <v>674</v>
      </c>
      <c r="AD59" s="123" t="s">
        <v>44</v>
      </c>
      <c r="AE59" s="122" t="s">
        <v>814</v>
      </c>
      <c r="AF59" s="124" t="s">
        <v>676</v>
      </c>
      <c r="AG59" s="24" t="s">
        <v>815</v>
      </c>
      <c r="AH59" s="24" t="s">
        <v>816</v>
      </c>
      <c r="AI59" s="125" t="s">
        <v>68</v>
      </c>
      <c r="AJ59" s="126">
        <v>1.5</v>
      </c>
      <c r="AK59" s="122" t="s">
        <v>76</v>
      </c>
      <c r="AL59" s="122" t="s">
        <v>46</v>
      </c>
      <c r="AM59" s="122" t="s">
        <v>46</v>
      </c>
      <c r="AN59" s="212">
        <f t="shared" si="1"/>
        <v>365</v>
      </c>
      <c r="AO59" s="114">
        <v>0</v>
      </c>
      <c r="AP59" s="114">
        <v>0</v>
      </c>
      <c r="AQ59" s="114">
        <v>365</v>
      </c>
      <c r="AR59" s="114">
        <v>0</v>
      </c>
      <c r="AS59" s="114">
        <v>0</v>
      </c>
      <c r="AT59" s="114">
        <v>65</v>
      </c>
      <c r="AU59" s="212">
        <f t="shared" si="2"/>
        <v>300</v>
      </c>
      <c r="AV59" s="114">
        <v>0</v>
      </c>
      <c r="AW59" s="127">
        <v>1430</v>
      </c>
      <c r="AX59" s="122" t="s">
        <v>679</v>
      </c>
      <c r="AY59" s="128" t="s">
        <v>817</v>
      </c>
      <c r="AZ59" s="128" t="s">
        <v>126</v>
      </c>
      <c r="BA59" s="128" t="s">
        <v>681</v>
      </c>
      <c r="BB59" s="114">
        <v>0</v>
      </c>
      <c r="BC59" s="204"/>
      <c r="BD59" s="204"/>
      <c r="BE59" s="213">
        <f t="shared" si="3"/>
        <v>0</v>
      </c>
      <c r="BF59" s="213">
        <f t="shared" si="4"/>
        <v>0</v>
      </c>
      <c r="BG59" s="213">
        <f t="shared" si="5"/>
        <v>0</v>
      </c>
      <c r="BH59" s="213">
        <f t="shared" si="6"/>
        <v>0</v>
      </c>
      <c r="BI59" s="213">
        <f t="shared" si="7"/>
        <v>0</v>
      </c>
      <c r="BJ59" s="213">
        <f t="shared" si="8"/>
        <v>0</v>
      </c>
      <c r="BK59" s="213">
        <f t="shared" si="9"/>
        <v>0</v>
      </c>
      <c r="BL59" s="213">
        <f t="shared" si="10"/>
        <v>0</v>
      </c>
      <c r="BM59" s="213">
        <f t="shared" si="11"/>
        <v>0</v>
      </c>
      <c r="BN59" s="213">
        <f t="shared" si="12"/>
        <v>0</v>
      </c>
      <c r="BO59" s="213">
        <f t="shared" si="13"/>
        <v>0</v>
      </c>
      <c r="BP59" s="213">
        <f t="shared" si="14"/>
        <v>0</v>
      </c>
      <c r="BQ59" s="205" t="str">
        <f t="shared" si="15"/>
        <v>10,45 2023.08.29</v>
      </c>
      <c r="BR59" s="205" t="str">
        <f t="shared" si="16"/>
        <v>12,15 2023.08.29</v>
      </c>
      <c r="BS59" s="206" t="str">
        <f t="shared" si="17"/>
        <v>В</v>
      </c>
      <c r="BT59" s="207">
        <f t="shared" si="18"/>
        <v>1.5</v>
      </c>
      <c r="BU59" s="212">
        <f t="shared" si="19"/>
        <v>365</v>
      </c>
      <c r="BV59" s="195">
        <f t="shared" si="20"/>
        <v>0</v>
      </c>
      <c r="BW59" s="195">
        <f t="shared" si="21"/>
        <v>0</v>
      </c>
      <c r="BX59" s="195">
        <f t="shared" si="22"/>
        <v>365</v>
      </c>
      <c r="BY59" s="195">
        <f t="shared" si="23"/>
        <v>0</v>
      </c>
      <c r="BZ59" s="195">
        <f t="shared" si="24"/>
        <v>0</v>
      </c>
      <c r="CA59" s="195">
        <f t="shared" si="25"/>
        <v>65</v>
      </c>
      <c r="CB59" s="212">
        <f t="shared" si="26"/>
        <v>300</v>
      </c>
      <c r="CC59" s="195">
        <f t="shared" si="27"/>
        <v>0</v>
      </c>
      <c r="CD59" s="214">
        <f t="shared" si="28"/>
        <v>0</v>
      </c>
      <c r="CE59" s="206"/>
      <c r="CF59" s="215">
        <f t="shared" si="29"/>
        <v>0</v>
      </c>
      <c r="CG59" s="215">
        <f t="shared" si="30"/>
        <v>0</v>
      </c>
      <c r="CH59" s="215">
        <f t="shared" si="31"/>
        <v>0</v>
      </c>
      <c r="CI59" s="215">
        <f t="shared" si="32"/>
        <v>0</v>
      </c>
      <c r="CJ59" s="215">
        <f t="shared" si="33"/>
        <v>0</v>
      </c>
      <c r="CK59" s="215">
        <f t="shared" si="34"/>
        <v>0</v>
      </c>
      <c r="CL59" s="215">
        <f t="shared" si="35"/>
        <v>0</v>
      </c>
      <c r="CM59" s="215">
        <f t="shared" si="36"/>
        <v>0</v>
      </c>
      <c r="CN59" s="215">
        <f t="shared" si="37"/>
        <v>0</v>
      </c>
      <c r="CO59" s="215">
        <f t="shared" si="38"/>
        <v>0</v>
      </c>
      <c r="CP59" s="215">
        <f t="shared" si="39"/>
        <v>0</v>
      </c>
      <c r="CQ59" s="215">
        <f t="shared" si="40"/>
        <v>0</v>
      </c>
      <c r="CR59" s="300"/>
    </row>
    <row r="60" spans="1:96" s="217" customFormat="1" ht="26.25" customHeight="1" x14ac:dyDescent="0.25">
      <c r="A60" s="208" t="s">
        <v>672</v>
      </c>
      <c r="B60" s="208"/>
      <c r="D60" s="208">
        <v>15</v>
      </c>
      <c r="AA60" s="210" t="s">
        <v>147</v>
      </c>
      <c r="AB60" s="211" t="s">
        <v>818</v>
      </c>
      <c r="AC60" s="122" t="s">
        <v>674</v>
      </c>
      <c r="AD60" s="123" t="s">
        <v>44</v>
      </c>
      <c r="AE60" s="122" t="s">
        <v>819</v>
      </c>
      <c r="AF60" s="124" t="s">
        <v>676</v>
      </c>
      <c r="AG60" s="24" t="s">
        <v>820</v>
      </c>
      <c r="AH60" s="24" t="s">
        <v>821</v>
      </c>
      <c r="AI60" s="125" t="s">
        <v>68</v>
      </c>
      <c r="AJ60" s="126">
        <v>1.67</v>
      </c>
      <c r="AK60" s="122" t="s">
        <v>76</v>
      </c>
      <c r="AL60" s="122" t="s">
        <v>46</v>
      </c>
      <c r="AM60" s="122" t="s">
        <v>46</v>
      </c>
      <c r="AN60" s="212">
        <f t="shared" si="1"/>
        <v>1070</v>
      </c>
      <c r="AO60" s="114">
        <v>0</v>
      </c>
      <c r="AP60" s="114">
        <v>0</v>
      </c>
      <c r="AQ60" s="114">
        <v>235</v>
      </c>
      <c r="AR60" s="114">
        <v>0</v>
      </c>
      <c r="AS60" s="114">
        <v>0</v>
      </c>
      <c r="AT60" s="114">
        <v>33</v>
      </c>
      <c r="AU60" s="212">
        <f t="shared" si="2"/>
        <v>202</v>
      </c>
      <c r="AV60" s="114">
        <v>835</v>
      </c>
      <c r="AW60" s="127">
        <v>0</v>
      </c>
      <c r="AX60" s="122" t="s">
        <v>679</v>
      </c>
      <c r="AY60" s="128" t="s">
        <v>822</v>
      </c>
      <c r="AZ60" s="128" t="s">
        <v>126</v>
      </c>
      <c r="BA60" s="128" t="s">
        <v>737</v>
      </c>
      <c r="BB60" s="114">
        <v>1</v>
      </c>
      <c r="BC60" s="204"/>
      <c r="BD60" s="204"/>
      <c r="BE60" s="213">
        <f t="shared" si="3"/>
        <v>0</v>
      </c>
      <c r="BF60" s="213">
        <f t="shared" si="4"/>
        <v>0</v>
      </c>
      <c r="BG60" s="213">
        <f t="shared" si="5"/>
        <v>0</v>
      </c>
      <c r="BH60" s="213">
        <f t="shared" si="6"/>
        <v>0</v>
      </c>
      <c r="BI60" s="213">
        <f t="shared" si="7"/>
        <v>0</v>
      </c>
      <c r="BJ60" s="213">
        <f t="shared" si="8"/>
        <v>0</v>
      </c>
      <c r="BK60" s="213">
        <f t="shared" si="9"/>
        <v>0</v>
      </c>
      <c r="BL60" s="213">
        <f t="shared" si="10"/>
        <v>0</v>
      </c>
      <c r="BM60" s="213">
        <f t="shared" si="11"/>
        <v>0</v>
      </c>
      <c r="BN60" s="213">
        <f t="shared" si="12"/>
        <v>0</v>
      </c>
      <c r="BO60" s="213">
        <f t="shared" si="13"/>
        <v>0</v>
      </c>
      <c r="BP60" s="213">
        <f t="shared" si="14"/>
        <v>0</v>
      </c>
      <c r="BQ60" s="205" t="str">
        <f t="shared" si="15"/>
        <v>10,50 2023.08.29</v>
      </c>
      <c r="BR60" s="205" t="str">
        <f t="shared" si="16"/>
        <v>12,30 2023.08.29</v>
      </c>
      <c r="BS60" s="206" t="str">
        <f t="shared" si="17"/>
        <v>В</v>
      </c>
      <c r="BT60" s="207">
        <f t="shared" si="18"/>
        <v>1.67</v>
      </c>
      <c r="BU60" s="212">
        <f t="shared" si="19"/>
        <v>1070</v>
      </c>
      <c r="BV60" s="195">
        <f t="shared" si="20"/>
        <v>0</v>
      </c>
      <c r="BW60" s="195">
        <f t="shared" si="21"/>
        <v>0</v>
      </c>
      <c r="BX60" s="195">
        <f t="shared" si="22"/>
        <v>235</v>
      </c>
      <c r="BY60" s="195">
        <f t="shared" si="23"/>
        <v>0</v>
      </c>
      <c r="BZ60" s="195">
        <f t="shared" si="24"/>
        <v>0</v>
      </c>
      <c r="CA60" s="195">
        <f t="shared" si="25"/>
        <v>33</v>
      </c>
      <c r="CB60" s="212">
        <f t="shared" si="26"/>
        <v>202</v>
      </c>
      <c r="CC60" s="195">
        <f t="shared" si="27"/>
        <v>835</v>
      </c>
      <c r="CD60" s="214">
        <f t="shared" si="28"/>
        <v>1</v>
      </c>
      <c r="CE60" s="206"/>
      <c r="CF60" s="215">
        <f t="shared" si="29"/>
        <v>0</v>
      </c>
      <c r="CG60" s="215">
        <f t="shared" si="30"/>
        <v>0</v>
      </c>
      <c r="CH60" s="215">
        <f t="shared" si="31"/>
        <v>0</v>
      </c>
      <c r="CI60" s="215">
        <f t="shared" si="32"/>
        <v>0</v>
      </c>
      <c r="CJ60" s="215">
        <f t="shared" si="33"/>
        <v>0</v>
      </c>
      <c r="CK60" s="215">
        <f t="shared" si="34"/>
        <v>0</v>
      </c>
      <c r="CL60" s="215">
        <f t="shared" si="35"/>
        <v>0</v>
      </c>
      <c r="CM60" s="215">
        <f t="shared" si="36"/>
        <v>0</v>
      </c>
      <c r="CN60" s="215">
        <f t="shared" si="37"/>
        <v>0</v>
      </c>
      <c r="CO60" s="215">
        <f t="shared" si="38"/>
        <v>0</v>
      </c>
      <c r="CP60" s="215">
        <f t="shared" si="39"/>
        <v>0</v>
      </c>
      <c r="CQ60" s="215">
        <f t="shared" si="40"/>
        <v>0</v>
      </c>
      <c r="CR60" s="300"/>
    </row>
    <row r="61" spans="1:96" s="217" customFormat="1" ht="26.25" customHeight="1" x14ac:dyDescent="0.25">
      <c r="A61" s="208" t="s">
        <v>672</v>
      </c>
      <c r="B61" s="208"/>
      <c r="D61" s="208">
        <v>15</v>
      </c>
      <c r="AA61" s="210" t="s">
        <v>147</v>
      </c>
      <c r="AB61" s="211" t="s">
        <v>823</v>
      </c>
      <c r="AC61" s="122" t="s">
        <v>674</v>
      </c>
      <c r="AD61" s="123" t="s">
        <v>44</v>
      </c>
      <c r="AE61" s="122" t="s">
        <v>824</v>
      </c>
      <c r="AF61" s="124" t="s">
        <v>676</v>
      </c>
      <c r="AG61" s="24" t="s">
        <v>820</v>
      </c>
      <c r="AH61" s="24" t="s">
        <v>821</v>
      </c>
      <c r="AI61" s="125" t="s">
        <v>68</v>
      </c>
      <c r="AJ61" s="126">
        <v>1.67</v>
      </c>
      <c r="AK61" s="122" t="s">
        <v>76</v>
      </c>
      <c r="AL61" s="122" t="s">
        <v>46</v>
      </c>
      <c r="AM61" s="122" t="s">
        <v>46</v>
      </c>
      <c r="AN61" s="212">
        <f t="shared" si="1"/>
        <v>230</v>
      </c>
      <c r="AO61" s="114">
        <v>0</v>
      </c>
      <c r="AP61" s="114">
        <v>0</v>
      </c>
      <c r="AQ61" s="114">
        <v>230</v>
      </c>
      <c r="AR61" s="114">
        <v>0</v>
      </c>
      <c r="AS61" s="114">
        <v>0</v>
      </c>
      <c r="AT61" s="114">
        <v>35</v>
      </c>
      <c r="AU61" s="212">
        <f t="shared" si="2"/>
        <v>195</v>
      </c>
      <c r="AV61" s="114">
        <v>0</v>
      </c>
      <c r="AW61" s="127">
        <v>745</v>
      </c>
      <c r="AX61" s="122" t="s">
        <v>679</v>
      </c>
      <c r="AY61" s="128" t="s">
        <v>825</v>
      </c>
      <c r="AZ61" s="128" t="s">
        <v>126</v>
      </c>
      <c r="BA61" s="128" t="s">
        <v>737</v>
      </c>
      <c r="BB61" s="114">
        <v>1</v>
      </c>
      <c r="BC61" s="204"/>
      <c r="BD61" s="204"/>
      <c r="BE61" s="213">
        <f t="shared" si="3"/>
        <v>0</v>
      </c>
      <c r="BF61" s="213">
        <f t="shared" si="4"/>
        <v>0</v>
      </c>
      <c r="BG61" s="213">
        <f t="shared" si="5"/>
        <v>0</v>
      </c>
      <c r="BH61" s="213">
        <f t="shared" si="6"/>
        <v>0</v>
      </c>
      <c r="BI61" s="213">
        <f t="shared" si="7"/>
        <v>0</v>
      </c>
      <c r="BJ61" s="213">
        <f t="shared" si="8"/>
        <v>0</v>
      </c>
      <c r="BK61" s="213">
        <f t="shared" si="9"/>
        <v>0</v>
      </c>
      <c r="BL61" s="213">
        <f t="shared" si="10"/>
        <v>0</v>
      </c>
      <c r="BM61" s="213">
        <f t="shared" si="11"/>
        <v>0</v>
      </c>
      <c r="BN61" s="213">
        <f t="shared" si="12"/>
        <v>0</v>
      </c>
      <c r="BO61" s="213">
        <f t="shared" si="13"/>
        <v>0</v>
      </c>
      <c r="BP61" s="213">
        <f t="shared" si="14"/>
        <v>0</v>
      </c>
      <c r="BQ61" s="205" t="str">
        <f t="shared" si="15"/>
        <v>10,50 2023.08.29</v>
      </c>
      <c r="BR61" s="205" t="str">
        <f t="shared" si="16"/>
        <v>12,30 2023.08.29</v>
      </c>
      <c r="BS61" s="206" t="str">
        <f t="shared" si="17"/>
        <v>В</v>
      </c>
      <c r="BT61" s="207">
        <f t="shared" si="18"/>
        <v>1.67</v>
      </c>
      <c r="BU61" s="212">
        <f t="shared" si="19"/>
        <v>230</v>
      </c>
      <c r="BV61" s="195">
        <f t="shared" si="20"/>
        <v>0</v>
      </c>
      <c r="BW61" s="195">
        <f t="shared" si="21"/>
        <v>0</v>
      </c>
      <c r="BX61" s="195">
        <f t="shared" si="22"/>
        <v>230</v>
      </c>
      <c r="BY61" s="195">
        <f t="shared" si="23"/>
        <v>0</v>
      </c>
      <c r="BZ61" s="195">
        <f t="shared" si="24"/>
        <v>0</v>
      </c>
      <c r="CA61" s="195">
        <f t="shared" si="25"/>
        <v>35</v>
      </c>
      <c r="CB61" s="212">
        <f t="shared" si="26"/>
        <v>195</v>
      </c>
      <c r="CC61" s="195">
        <f t="shared" si="27"/>
        <v>0</v>
      </c>
      <c r="CD61" s="214">
        <f t="shared" si="28"/>
        <v>1</v>
      </c>
      <c r="CE61" s="206"/>
      <c r="CF61" s="215">
        <f t="shared" si="29"/>
        <v>0</v>
      </c>
      <c r="CG61" s="215">
        <f t="shared" si="30"/>
        <v>0</v>
      </c>
      <c r="CH61" s="215">
        <f t="shared" si="31"/>
        <v>0</v>
      </c>
      <c r="CI61" s="215">
        <f t="shared" si="32"/>
        <v>0</v>
      </c>
      <c r="CJ61" s="215">
        <f t="shared" si="33"/>
        <v>0</v>
      </c>
      <c r="CK61" s="215">
        <f t="shared" si="34"/>
        <v>0</v>
      </c>
      <c r="CL61" s="215">
        <f t="shared" si="35"/>
        <v>0</v>
      </c>
      <c r="CM61" s="215">
        <f t="shared" si="36"/>
        <v>0</v>
      </c>
      <c r="CN61" s="215">
        <f t="shared" si="37"/>
        <v>0</v>
      </c>
      <c r="CO61" s="215">
        <f t="shared" si="38"/>
        <v>0</v>
      </c>
      <c r="CP61" s="215">
        <f t="shared" si="39"/>
        <v>0</v>
      </c>
      <c r="CQ61" s="215">
        <f t="shared" si="40"/>
        <v>0</v>
      </c>
      <c r="CR61" s="300"/>
    </row>
    <row r="62" spans="1:96" s="217" customFormat="1" ht="26.25" customHeight="1" x14ac:dyDescent="0.25">
      <c r="A62" s="208" t="s">
        <v>672</v>
      </c>
      <c r="B62" s="208"/>
      <c r="D62" s="208">
        <v>15</v>
      </c>
      <c r="AA62" s="210" t="s">
        <v>147</v>
      </c>
      <c r="AB62" s="211" t="s">
        <v>826</v>
      </c>
      <c r="AC62" s="122" t="s">
        <v>674</v>
      </c>
      <c r="AD62" s="123" t="s">
        <v>44</v>
      </c>
      <c r="AE62" s="122" t="s">
        <v>827</v>
      </c>
      <c r="AF62" s="124" t="s">
        <v>676</v>
      </c>
      <c r="AG62" s="24" t="s">
        <v>828</v>
      </c>
      <c r="AH62" s="24" t="s">
        <v>829</v>
      </c>
      <c r="AI62" s="125" t="s">
        <v>68</v>
      </c>
      <c r="AJ62" s="126">
        <v>0.75</v>
      </c>
      <c r="AK62" s="122" t="s">
        <v>76</v>
      </c>
      <c r="AL62" s="122" t="s">
        <v>46</v>
      </c>
      <c r="AM62" s="122" t="s">
        <v>46</v>
      </c>
      <c r="AN62" s="212">
        <f t="shared" si="1"/>
        <v>320</v>
      </c>
      <c r="AO62" s="114">
        <v>0</v>
      </c>
      <c r="AP62" s="114">
        <v>0</v>
      </c>
      <c r="AQ62" s="114">
        <v>320</v>
      </c>
      <c r="AR62" s="114">
        <v>0</v>
      </c>
      <c r="AS62" s="114">
        <v>0</v>
      </c>
      <c r="AT62" s="114">
        <v>65</v>
      </c>
      <c r="AU62" s="212">
        <f t="shared" si="2"/>
        <v>255</v>
      </c>
      <c r="AV62" s="114">
        <v>0</v>
      </c>
      <c r="AW62" s="127">
        <v>860</v>
      </c>
      <c r="AX62" s="122" t="s">
        <v>679</v>
      </c>
      <c r="AY62" s="128" t="s">
        <v>830</v>
      </c>
      <c r="AZ62" s="128" t="s">
        <v>126</v>
      </c>
      <c r="BA62" s="128" t="s">
        <v>681</v>
      </c>
      <c r="BB62" s="114">
        <v>0</v>
      </c>
      <c r="BC62" s="204"/>
      <c r="BD62" s="204"/>
      <c r="BE62" s="213">
        <f t="shared" si="3"/>
        <v>0</v>
      </c>
      <c r="BF62" s="213">
        <f t="shared" si="4"/>
        <v>0</v>
      </c>
      <c r="BG62" s="213">
        <f t="shared" si="5"/>
        <v>0</v>
      </c>
      <c r="BH62" s="213">
        <f t="shared" si="6"/>
        <v>0</v>
      </c>
      <c r="BI62" s="213">
        <f t="shared" si="7"/>
        <v>0</v>
      </c>
      <c r="BJ62" s="213">
        <f t="shared" si="8"/>
        <v>0</v>
      </c>
      <c r="BK62" s="213">
        <f t="shared" si="9"/>
        <v>0</v>
      </c>
      <c r="BL62" s="213">
        <f t="shared" si="10"/>
        <v>0</v>
      </c>
      <c r="BM62" s="213">
        <f t="shared" si="11"/>
        <v>0</v>
      </c>
      <c r="BN62" s="213">
        <f t="shared" si="12"/>
        <v>0</v>
      </c>
      <c r="BO62" s="213">
        <f t="shared" si="13"/>
        <v>0</v>
      </c>
      <c r="BP62" s="213">
        <f t="shared" si="14"/>
        <v>0</v>
      </c>
      <c r="BQ62" s="205" t="str">
        <f t="shared" si="15"/>
        <v>15,20 2023.09.06</v>
      </c>
      <c r="BR62" s="205" t="str">
        <f t="shared" si="16"/>
        <v>16,05 2023.09.06</v>
      </c>
      <c r="BS62" s="206" t="str">
        <f t="shared" si="17"/>
        <v>В</v>
      </c>
      <c r="BT62" s="207">
        <f t="shared" si="18"/>
        <v>0.75</v>
      </c>
      <c r="BU62" s="212">
        <f t="shared" si="19"/>
        <v>320</v>
      </c>
      <c r="BV62" s="195">
        <f t="shared" si="20"/>
        <v>0</v>
      </c>
      <c r="BW62" s="195">
        <f t="shared" si="21"/>
        <v>0</v>
      </c>
      <c r="BX62" s="195">
        <f t="shared" si="22"/>
        <v>320</v>
      </c>
      <c r="BY62" s="195">
        <f t="shared" si="23"/>
        <v>0</v>
      </c>
      <c r="BZ62" s="195">
        <f t="shared" si="24"/>
        <v>0</v>
      </c>
      <c r="CA62" s="195">
        <f t="shared" si="25"/>
        <v>65</v>
      </c>
      <c r="CB62" s="212">
        <f t="shared" si="26"/>
        <v>255</v>
      </c>
      <c r="CC62" s="195">
        <f t="shared" si="27"/>
        <v>0</v>
      </c>
      <c r="CD62" s="214">
        <f t="shared" si="28"/>
        <v>0</v>
      </c>
      <c r="CE62" s="206"/>
      <c r="CF62" s="215">
        <f t="shared" si="29"/>
        <v>0</v>
      </c>
      <c r="CG62" s="215">
        <f t="shared" si="30"/>
        <v>0</v>
      </c>
      <c r="CH62" s="215">
        <f t="shared" si="31"/>
        <v>0</v>
      </c>
      <c r="CI62" s="215">
        <f t="shared" si="32"/>
        <v>0</v>
      </c>
      <c r="CJ62" s="215">
        <f t="shared" si="33"/>
        <v>0</v>
      </c>
      <c r="CK62" s="215">
        <f t="shared" si="34"/>
        <v>0</v>
      </c>
      <c r="CL62" s="215">
        <f t="shared" si="35"/>
        <v>0</v>
      </c>
      <c r="CM62" s="215">
        <f t="shared" si="36"/>
        <v>0</v>
      </c>
      <c r="CN62" s="215">
        <f t="shared" si="37"/>
        <v>0</v>
      </c>
      <c r="CO62" s="215">
        <f t="shared" si="38"/>
        <v>0</v>
      </c>
      <c r="CP62" s="215">
        <f t="shared" si="39"/>
        <v>0</v>
      </c>
      <c r="CQ62" s="215">
        <f t="shared" si="40"/>
        <v>0</v>
      </c>
      <c r="CR62" s="300"/>
    </row>
    <row r="63" spans="1:96" s="217" customFormat="1" ht="26.25" customHeight="1" x14ac:dyDescent="0.25">
      <c r="A63" s="208" t="s">
        <v>672</v>
      </c>
      <c r="B63" s="208"/>
      <c r="D63" s="208">
        <v>15</v>
      </c>
      <c r="AA63" s="210" t="s">
        <v>147</v>
      </c>
      <c r="AB63" s="211" t="s">
        <v>831</v>
      </c>
      <c r="AC63" s="122" t="s">
        <v>674</v>
      </c>
      <c r="AD63" s="123" t="s">
        <v>44</v>
      </c>
      <c r="AE63" s="122" t="s">
        <v>832</v>
      </c>
      <c r="AF63" s="124" t="s">
        <v>676</v>
      </c>
      <c r="AG63" s="24" t="s">
        <v>833</v>
      </c>
      <c r="AH63" s="24" t="s">
        <v>834</v>
      </c>
      <c r="AI63" s="125" t="s">
        <v>68</v>
      </c>
      <c r="AJ63" s="126">
        <v>0.67</v>
      </c>
      <c r="AK63" s="122" t="s">
        <v>76</v>
      </c>
      <c r="AL63" s="122" t="s">
        <v>46</v>
      </c>
      <c r="AM63" s="122" t="s">
        <v>46</v>
      </c>
      <c r="AN63" s="212">
        <f t="shared" si="1"/>
        <v>65</v>
      </c>
      <c r="AO63" s="114">
        <v>0</v>
      </c>
      <c r="AP63" s="114">
        <v>0</v>
      </c>
      <c r="AQ63" s="114">
        <v>65</v>
      </c>
      <c r="AR63" s="114">
        <v>0</v>
      </c>
      <c r="AS63" s="114">
        <v>0</v>
      </c>
      <c r="AT63" s="114">
        <v>5</v>
      </c>
      <c r="AU63" s="212">
        <f t="shared" si="2"/>
        <v>60</v>
      </c>
      <c r="AV63" s="114">
        <v>0</v>
      </c>
      <c r="AW63" s="127">
        <v>260</v>
      </c>
      <c r="AX63" s="122" t="s">
        <v>679</v>
      </c>
      <c r="AY63" s="128" t="s">
        <v>835</v>
      </c>
      <c r="AZ63" s="128" t="s">
        <v>126</v>
      </c>
      <c r="BA63" s="128" t="s">
        <v>737</v>
      </c>
      <c r="BB63" s="114">
        <v>1</v>
      </c>
      <c r="BC63" s="204"/>
      <c r="BD63" s="204"/>
      <c r="BE63" s="213">
        <f t="shared" si="3"/>
        <v>0</v>
      </c>
      <c r="BF63" s="213">
        <f t="shared" si="4"/>
        <v>0</v>
      </c>
      <c r="BG63" s="213">
        <f t="shared" si="5"/>
        <v>0</v>
      </c>
      <c r="BH63" s="213">
        <f t="shared" si="6"/>
        <v>0</v>
      </c>
      <c r="BI63" s="213">
        <f t="shared" si="7"/>
        <v>0</v>
      </c>
      <c r="BJ63" s="213">
        <f t="shared" si="8"/>
        <v>0</v>
      </c>
      <c r="BK63" s="213">
        <f t="shared" si="9"/>
        <v>0</v>
      </c>
      <c r="BL63" s="213">
        <f t="shared" si="10"/>
        <v>0</v>
      </c>
      <c r="BM63" s="213">
        <f t="shared" si="11"/>
        <v>0</v>
      </c>
      <c r="BN63" s="213">
        <f t="shared" si="12"/>
        <v>0</v>
      </c>
      <c r="BO63" s="213">
        <f t="shared" si="13"/>
        <v>0</v>
      </c>
      <c r="BP63" s="213">
        <f t="shared" si="14"/>
        <v>0</v>
      </c>
      <c r="BQ63" s="205" t="str">
        <f t="shared" si="15"/>
        <v>04,50 2023.09.07</v>
      </c>
      <c r="BR63" s="205" t="str">
        <f t="shared" si="16"/>
        <v>05,30 2023.09.07</v>
      </c>
      <c r="BS63" s="206" t="str">
        <f t="shared" si="17"/>
        <v>В</v>
      </c>
      <c r="BT63" s="207">
        <f t="shared" si="18"/>
        <v>0.67</v>
      </c>
      <c r="BU63" s="212">
        <f t="shared" si="19"/>
        <v>65</v>
      </c>
      <c r="BV63" s="195">
        <f t="shared" si="20"/>
        <v>0</v>
      </c>
      <c r="BW63" s="195">
        <f t="shared" si="21"/>
        <v>0</v>
      </c>
      <c r="BX63" s="195">
        <f t="shared" si="22"/>
        <v>65</v>
      </c>
      <c r="BY63" s="195">
        <f t="shared" si="23"/>
        <v>0</v>
      </c>
      <c r="BZ63" s="195">
        <f t="shared" si="24"/>
        <v>0</v>
      </c>
      <c r="CA63" s="195">
        <f t="shared" si="25"/>
        <v>5</v>
      </c>
      <c r="CB63" s="212">
        <f t="shared" si="26"/>
        <v>60</v>
      </c>
      <c r="CC63" s="195">
        <f t="shared" si="27"/>
        <v>0</v>
      </c>
      <c r="CD63" s="214">
        <f t="shared" si="28"/>
        <v>1</v>
      </c>
      <c r="CE63" s="206"/>
      <c r="CF63" s="215">
        <f t="shared" si="29"/>
        <v>0</v>
      </c>
      <c r="CG63" s="215">
        <f t="shared" si="30"/>
        <v>0</v>
      </c>
      <c r="CH63" s="215">
        <f t="shared" si="31"/>
        <v>0</v>
      </c>
      <c r="CI63" s="215">
        <f t="shared" si="32"/>
        <v>0</v>
      </c>
      <c r="CJ63" s="215">
        <f t="shared" si="33"/>
        <v>0</v>
      </c>
      <c r="CK63" s="215">
        <f t="shared" si="34"/>
        <v>0</v>
      </c>
      <c r="CL63" s="215">
        <f t="shared" si="35"/>
        <v>0</v>
      </c>
      <c r="CM63" s="215">
        <f t="shared" si="36"/>
        <v>0</v>
      </c>
      <c r="CN63" s="215">
        <f t="shared" si="37"/>
        <v>0</v>
      </c>
      <c r="CO63" s="215">
        <f t="shared" si="38"/>
        <v>0</v>
      </c>
      <c r="CP63" s="215">
        <f t="shared" si="39"/>
        <v>0</v>
      </c>
      <c r="CQ63" s="215">
        <f t="shared" si="40"/>
        <v>0</v>
      </c>
      <c r="CR63" s="300"/>
    </row>
    <row r="64" spans="1:96" s="217" customFormat="1" ht="26.25" customHeight="1" x14ac:dyDescent="0.25">
      <c r="A64" s="208" t="s">
        <v>672</v>
      </c>
      <c r="B64" s="208"/>
      <c r="D64" s="208">
        <v>15</v>
      </c>
      <c r="AA64" s="210" t="s">
        <v>147</v>
      </c>
      <c r="AB64" s="211" t="s">
        <v>836</v>
      </c>
      <c r="AC64" s="122" t="s">
        <v>674</v>
      </c>
      <c r="AD64" s="123" t="s">
        <v>44</v>
      </c>
      <c r="AE64" s="122" t="s">
        <v>837</v>
      </c>
      <c r="AF64" s="124" t="s">
        <v>676</v>
      </c>
      <c r="AG64" s="24" t="s">
        <v>838</v>
      </c>
      <c r="AH64" s="24" t="s">
        <v>839</v>
      </c>
      <c r="AI64" s="125" t="s">
        <v>68</v>
      </c>
      <c r="AJ64" s="126">
        <v>0.88</v>
      </c>
      <c r="AK64" s="122" t="s">
        <v>76</v>
      </c>
      <c r="AL64" s="122" t="s">
        <v>46</v>
      </c>
      <c r="AM64" s="122" t="s">
        <v>46</v>
      </c>
      <c r="AN64" s="212">
        <f t="shared" si="1"/>
        <v>480</v>
      </c>
      <c r="AO64" s="114">
        <v>0</v>
      </c>
      <c r="AP64" s="114">
        <v>0</v>
      </c>
      <c r="AQ64" s="114">
        <v>480</v>
      </c>
      <c r="AR64" s="114">
        <v>0</v>
      </c>
      <c r="AS64" s="114">
        <v>0</v>
      </c>
      <c r="AT64" s="114">
        <v>80</v>
      </c>
      <c r="AU64" s="212">
        <f t="shared" si="2"/>
        <v>400</v>
      </c>
      <c r="AV64" s="114">
        <v>0</v>
      </c>
      <c r="AW64" s="127">
        <v>1450</v>
      </c>
      <c r="AX64" s="122" t="s">
        <v>679</v>
      </c>
      <c r="AY64" s="128" t="s">
        <v>840</v>
      </c>
      <c r="AZ64" s="128" t="s">
        <v>126</v>
      </c>
      <c r="BA64" s="128" t="s">
        <v>737</v>
      </c>
      <c r="BB64" s="114">
        <v>0</v>
      </c>
      <c r="BC64" s="204"/>
      <c r="BD64" s="204"/>
      <c r="BE64" s="213">
        <f t="shared" si="3"/>
        <v>0</v>
      </c>
      <c r="BF64" s="213">
        <f t="shared" si="4"/>
        <v>0</v>
      </c>
      <c r="BG64" s="213">
        <f t="shared" si="5"/>
        <v>0</v>
      </c>
      <c r="BH64" s="213">
        <f t="shared" si="6"/>
        <v>0</v>
      </c>
      <c r="BI64" s="213">
        <f t="shared" si="7"/>
        <v>0</v>
      </c>
      <c r="BJ64" s="213">
        <f t="shared" si="8"/>
        <v>0</v>
      </c>
      <c r="BK64" s="213">
        <f t="shared" si="9"/>
        <v>0</v>
      </c>
      <c r="BL64" s="213">
        <f t="shared" si="10"/>
        <v>0</v>
      </c>
      <c r="BM64" s="213">
        <f t="shared" si="11"/>
        <v>0</v>
      </c>
      <c r="BN64" s="213">
        <f t="shared" si="12"/>
        <v>0</v>
      </c>
      <c r="BO64" s="213">
        <f t="shared" si="13"/>
        <v>0</v>
      </c>
      <c r="BP64" s="213">
        <f t="shared" si="14"/>
        <v>0</v>
      </c>
      <c r="BQ64" s="205" t="str">
        <f t="shared" si="15"/>
        <v>09,57 2023.09.07</v>
      </c>
      <c r="BR64" s="205" t="str">
        <f t="shared" si="16"/>
        <v>10,50 2023.09.07</v>
      </c>
      <c r="BS64" s="206" t="str">
        <f t="shared" si="17"/>
        <v>В</v>
      </c>
      <c r="BT64" s="207">
        <f t="shared" si="18"/>
        <v>0.88</v>
      </c>
      <c r="BU64" s="212">
        <f t="shared" si="19"/>
        <v>480</v>
      </c>
      <c r="BV64" s="195">
        <f t="shared" si="20"/>
        <v>0</v>
      </c>
      <c r="BW64" s="195">
        <f t="shared" si="21"/>
        <v>0</v>
      </c>
      <c r="BX64" s="195">
        <f t="shared" si="22"/>
        <v>480</v>
      </c>
      <c r="BY64" s="195">
        <f t="shared" si="23"/>
        <v>0</v>
      </c>
      <c r="BZ64" s="195">
        <f t="shared" si="24"/>
        <v>0</v>
      </c>
      <c r="CA64" s="195">
        <f t="shared" si="25"/>
        <v>80</v>
      </c>
      <c r="CB64" s="212">
        <f t="shared" si="26"/>
        <v>400</v>
      </c>
      <c r="CC64" s="195">
        <f t="shared" si="27"/>
        <v>0</v>
      </c>
      <c r="CD64" s="214">
        <f t="shared" si="28"/>
        <v>0</v>
      </c>
      <c r="CE64" s="206"/>
      <c r="CF64" s="215">
        <f t="shared" si="29"/>
        <v>0</v>
      </c>
      <c r="CG64" s="215">
        <f t="shared" si="30"/>
        <v>0</v>
      </c>
      <c r="CH64" s="215">
        <f t="shared" si="31"/>
        <v>0</v>
      </c>
      <c r="CI64" s="215">
        <f t="shared" si="32"/>
        <v>0</v>
      </c>
      <c r="CJ64" s="215">
        <f t="shared" si="33"/>
        <v>0</v>
      </c>
      <c r="CK64" s="215">
        <f t="shared" si="34"/>
        <v>0</v>
      </c>
      <c r="CL64" s="215">
        <f t="shared" si="35"/>
        <v>0</v>
      </c>
      <c r="CM64" s="215">
        <f t="shared" si="36"/>
        <v>0</v>
      </c>
      <c r="CN64" s="215">
        <f t="shared" si="37"/>
        <v>0</v>
      </c>
      <c r="CO64" s="215">
        <f t="shared" si="38"/>
        <v>0</v>
      </c>
      <c r="CP64" s="215">
        <f t="shared" si="39"/>
        <v>0</v>
      </c>
      <c r="CQ64" s="215">
        <f t="shared" si="40"/>
        <v>0</v>
      </c>
      <c r="CR64" s="300"/>
    </row>
    <row r="65" spans="1:96" s="217" customFormat="1" ht="36" customHeight="1" x14ac:dyDescent="0.25">
      <c r="A65" s="208" t="s">
        <v>672</v>
      </c>
      <c r="B65" s="208"/>
      <c r="D65" s="208">
        <v>15</v>
      </c>
      <c r="AA65" s="210" t="s">
        <v>147</v>
      </c>
      <c r="AB65" s="211" t="s">
        <v>841</v>
      </c>
      <c r="AC65" s="122" t="s">
        <v>674</v>
      </c>
      <c r="AD65" s="123" t="s">
        <v>44</v>
      </c>
      <c r="AE65" s="122" t="s">
        <v>789</v>
      </c>
      <c r="AF65" s="124" t="s">
        <v>676</v>
      </c>
      <c r="AG65" s="24" t="s">
        <v>842</v>
      </c>
      <c r="AH65" s="24" t="s">
        <v>843</v>
      </c>
      <c r="AI65" s="125" t="s">
        <v>68</v>
      </c>
      <c r="AJ65" s="126">
        <v>0.57999999999999996</v>
      </c>
      <c r="AK65" s="122" t="s">
        <v>76</v>
      </c>
      <c r="AL65" s="122" t="s">
        <v>46</v>
      </c>
      <c r="AM65" s="122" t="s">
        <v>46</v>
      </c>
      <c r="AN65" s="212">
        <f t="shared" si="1"/>
        <v>321</v>
      </c>
      <c r="AO65" s="114">
        <v>0</v>
      </c>
      <c r="AP65" s="114">
        <v>0</v>
      </c>
      <c r="AQ65" s="114">
        <v>320</v>
      </c>
      <c r="AR65" s="114">
        <v>0</v>
      </c>
      <c r="AS65" s="114">
        <v>0</v>
      </c>
      <c r="AT65" s="114">
        <v>45</v>
      </c>
      <c r="AU65" s="212">
        <f t="shared" si="2"/>
        <v>275</v>
      </c>
      <c r="AV65" s="114">
        <v>1</v>
      </c>
      <c r="AW65" s="127">
        <v>940</v>
      </c>
      <c r="AX65" s="122" t="s">
        <v>844</v>
      </c>
      <c r="AY65" s="128" t="s">
        <v>845</v>
      </c>
      <c r="AZ65" s="128" t="s">
        <v>126</v>
      </c>
      <c r="BA65" s="128" t="s">
        <v>737</v>
      </c>
      <c r="BB65" s="114">
        <v>1</v>
      </c>
      <c r="BC65" s="204"/>
      <c r="BD65" s="204"/>
      <c r="BE65" s="213">
        <f t="shared" si="3"/>
        <v>0</v>
      </c>
      <c r="BF65" s="213">
        <f t="shared" si="4"/>
        <v>0</v>
      </c>
      <c r="BG65" s="213">
        <f t="shared" si="5"/>
        <v>0</v>
      </c>
      <c r="BH65" s="213">
        <f t="shared" si="6"/>
        <v>0</v>
      </c>
      <c r="BI65" s="213">
        <f t="shared" si="7"/>
        <v>0</v>
      </c>
      <c r="BJ65" s="213">
        <f t="shared" si="8"/>
        <v>0</v>
      </c>
      <c r="BK65" s="213">
        <f t="shared" si="9"/>
        <v>0</v>
      </c>
      <c r="BL65" s="213">
        <f t="shared" si="10"/>
        <v>0</v>
      </c>
      <c r="BM65" s="213">
        <f t="shared" si="11"/>
        <v>0</v>
      </c>
      <c r="BN65" s="213">
        <f t="shared" si="12"/>
        <v>0</v>
      </c>
      <c r="BO65" s="213">
        <f t="shared" si="13"/>
        <v>0</v>
      </c>
      <c r="BP65" s="213">
        <f t="shared" si="14"/>
        <v>0</v>
      </c>
      <c r="BQ65" s="205" t="str">
        <f t="shared" si="15"/>
        <v>01,20 2023.10.30</v>
      </c>
      <c r="BR65" s="205" t="str">
        <f t="shared" si="16"/>
        <v>01,55 2023.10.30</v>
      </c>
      <c r="BS65" s="206" t="str">
        <f t="shared" si="17"/>
        <v>В</v>
      </c>
      <c r="BT65" s="207">
        <f t="shared" si="18"/>
        <v>0.57999999999999996</v>
      </c>
      <c r="BU65" s="212">
        <f t="shared" si="19"/>
        <v>321</v>
      </c>
      <c r="BV65" s="195">
        <f t="shared" si="20"/>
        <v>0</v>
      </c>
      <c r="BW65" s="195">
        <f t="shared" si="21"/>
        <v>0</v>
      </c>
      <c r="BX65" s="195">
        <f t="shared" si="22"/>
        <v>320</v>
      </c>
      <c r="BY65" s="195">
        <f t="shared" si="23"/>
        <v>0</v>
      </c>
      <c r="BZ65" s="195">
        <f t="shared" si="24"/>
        <v>0</v>
      </c>
      <c r="CA65" s="195">
        <f t="shared" si="25"/>
        <v>45</v>
      </c>
      <c r="CB65" s="212">
        <f t="shared" si="26"/>
        <v>275</v>
      </c>
      <c r="CC65" s="195">
        <f t="shared" si="27"/>
        <v>1</v>
      </c>
      <c r="CD65" s="214">
        <f t="shared" si="28"/>
        <v>1</v>
      </c>
      <c r="CE65" s="206"/>
      <c r="CF65" s="215">
        <f t="shared" si="29"/>
        <v>0</v>
      </c>
      <c r="CG65" s="215">
        <f t="shared" si="30"/>
        <v>0</v>
      </c>
      <c r="CH65" s="215">
        <f t="shared" si="31"/>
        <v>0</v>
      </c>
      <c r="CI65" s="215">
        <f t="shared" si="32"/>
        <v>0</v>
      </c>
      <c r="CJ65" s="215">
        <f t="shared" si="33"/>
        <v>0</v>
      </c>
      <c r="CK65" s="215">
        <f t="shared" si="34"/>
        <v>0</v>
      </c>
      <c r="CL65" s="215">
        <f t="shared" si="35"/>
        <v>0</v>
      </c>
      <c r="CM65" s="215">
        <f t="shared" si="36"/>
        <v>0</v>
      </c>
      <c r="CN65" s="215">
        <f t="shared" si="37"/>
        <v>0</v>
      </c>
      <c r="CO65" s="215">
        <f t="shared" si="38"/>
        <v>0</v>
      </c>
      <c r="CP65" s="215">
        <f t="shared" si="39"/>
        <v>0</v>
      </c>
      <c r="CQ65" s="215">
        <f t="shared" si="40"/>
        <v>0</v>
      </c>
      <c r="CR65" s="300"/>
    </row>
    <row r="66" spans="1:96" s="217" customFormat="1" ht="26.25" customHeight="1" x14ac:dyDescent="0.25">
      <c r="A66" s="208" t="s">
        <v>672</v>
      </c>
      <c r="B66" s="208"/>
      <c r="D66" s="208">
        <v>15</v>
      </c>
      <c r="AA66" s="210" t="s">
        <v>147</v>
      </c>
      <c r="AB66" s="211" t="s">
        <v>846</v>
      </c>
      <c r="AC66" s="122" t="s">
        <v>674</v>
      </c>
      <c r="AD66" s="123" t="s">
        <v>44</v>
      </c>
      <c r="AE66" s="122" t="s">
        <v>847</v>
      </c>
      <c r="AF66" s="124" t="s">
        <v>676</v>
      </c>
      <c r="AG66" s="24" t="s">
        <v>848</v>
      </c>
      <c r="AH66" s="24" t="s">
        <v>849</v>
      </c>
      <c r="AI66" s="125" t="s">
        <v>68</v>
      </c>
      <c r="AJ66" s="126">
        <v>0.42</v>
      </c>
      <c r="AK66" s="122" t="s">
        <v>76</v>
      </c>
      <c r="AL66" s="122" t="s">
        <v>46</v>
      </c>
      <c r="AM66" s="122" t="s">
        <v>46</v>
      </c>
      <c r="AN66" s="212">
        <f t="shared" si="1"/>
        <v>260</v>
      </c>
      <c r="AO66" s="114">
        <v>0</v>
      </c>
      <c r="AP66" s="114">
        <v>0</v>
      </c>
      <c r="AQ66" s="114">
        <v>260</v>
      </c>
      <c r="AR66" s="114">
        <v>0</v>
      </c>
      <c r="AS66" s="114">
        <v>0</v>
      </c>
      <c r="AT66" s="114">
        <v>60</v>
      </c>
      <c r="AU66" s="212">
        <f t="shared" si="2"/>
        <v>200</v>
      </c>
      <c r="AV66" s="114">
        <v>0</v>
      </c>
      <c r="AW66" s="127">
        <v>560</v>
      </c>
      <c r="AX66" s="122" t="s">
        <v>679</v>
      </c>
      <c r="AY66" s="128" t="s">
        <v>850</v>
      </c>
      <c r="AZ66" s="128" t="s">
        <v>126</v>
      </c>
      <c r="BA66" s="128" t="s">
        <v>737</v>
      </c>
      <c r="BB66" s="114">
        <v>1</v>
      </c>
      <c r="BC66" s="204"/>
      <c r="BD66" s="204"/>
      <c r="BE66" s="213">
        <f t="shared" si="3"/>
        <v>0</v>
      </c>
      <c r="BF66" s="213">
        <f t="shared" si="4"/>
        <v>0</v>
      </c>
      <c r="BG66" s="213">
        <f t="shared" si="5"/>
        <v>0</v>
      </c>
      <c r="BH66" s="213">
        <f t="shared" si="6"/>
        <v>0</v>
      </c>
      <c r="BI66" s="213">
        <f t="shared" si="7"/>
        <v>0</v>
      </c>
      <c r="BJ66" s="213">
        <f t="shared" si="8"/>
        <v>0</v>
      </c>
      <c r="BK66" s="213">
        <f t="shared" si="9"/>
        <v>0</v>
      </c>
      <c r="BL66" s="213">
        <f t="shared" si="10"/>
        <v>0</v>
      </c>
      <c r="BM66" s="213">
        <f t="shared" si="11"/>
        <v>0</v>
      </c>
      <c r="BN66" s="213">
        <f t="shared" si="12"/>
        <v>0</v>
      </c>
      <c r="BO66" s="213">
        <f t="shared" si="13"/>
        <v>0</v>
      </c>
      <c r="BP66" s="213">
        <f t="shared" si="14"/>
        <v>0</v>
      </c>
      <c r="BQ66" s="205" t="str">
        <f t="shared" si="15"/>
        <v>01,40 2023.11.03</v>
      </c>
      <c r="BR66" s="205" t="str">
        <f t="shared" si="16"/>
        <v>02,05 2023.11.03</v>
      </c>
      <c r="BS66" s="206" t="str">
        <f t="shared" si="17"/>
        <v>В</v>
      </c>
      <c r="BT66" s="207">
        <f t="shared" si="18"/>
        <v>0.42</v>
      </c>
      <c r="BU66" s="212">
        <f t="shared" si="19"/>
        <v>260</v>
      </c>
      <c r="BV66" s="195">
        <f t="shared" si="20"/>
        <v>0</v>
      </c>
      <c r="BW66" s="195">
        <f t="shared" si="21"/>
        <v>0</v>
      </c>
      <c r="BX66" s="195">
        <f t="shared" si="22"/>
        <v>260</v>
      </c>
      <c r="BY66" s="195">
        <f t="shared" si="23"/>
        <v>0</v>
      </c>
      <c r="BZ66" s="195">
        <f t="shared" si="24"/>
        <v>0</v>
      </c>
      <c r="CA66" s="195">
        <f t="shared" si="25"/>
        <v>60</v>
      </c>
      <c r="CB66" s="212">
        <f t="shared" si="26"/>
        <v>200</v>
      </c>
      <c r="CC66" s="195">
        <f t="shared" si="27"/>
        <v>0</v>
      </c>
      <c r="CD66" s="214">
        <f t="shared" si="28"/>
        <v>1</v>
      </c>
      <c r="CE66" s="206"/>
      <c r="CF66" s="215">
        <f t="shared" si="29"/>
        <v>0</v>
      </c>
      <c r="CG66" s="215">
        <f t="shared" si="30"/>
        <v>0</v>
      </c>
      <c r="CH66" s="215">
        <f t="shared" si="31"/>
        <v>0</v>
      </c>
      <c r="CI66" s="215">
        <f t="shared" si="32"/>
        <v>0</v>
      </c>
      <c r="CJ66" s="215">
        <f t="shared" si="33"/>
        <v>0</v>
      </c>
      <c r="CK66" s="215">
        <f t="shared" si="34"/>
        <v>0</v>
      </c>
      <c r="CL66" s="215">
        <f t="shared" si="35"/>
        <v>0</v>
      </c>
      <c r="CM66" s="215">
        <f t="shared" si="36"/>
        <v>0</v>
      </c>
      <c r="CN66" s="215">
        <f t="shared" si="37"/>
        <v>0</v>
      </c>
      <c r="CO66" s="215">
        <f t="shared" si="38"/>
        <v>0</v>
      </c>
      <c r="CP66" s="215">
        <f t="shared" si="39"/>
        <v>0</v>
      </c>
      <c r="CQ66" s="215">
        <f t="shared" si="40"/>
        <v>0</v>
      </c>
      <c r="CR66" s="300"/>
    </row>
    <row r="67" spans="1:96" s="217" customFormat="1" ht="26.25" customHeight="1" x14ac:dyDescent="0.25">
      <c r="A67" s="208" t="s">
        <v>672</v>
      </c>
      <c r="B67" s="208"/>
      <c r="D67" s="208">
        <v>15</v>
      </c>
      <c r="AA67" s="210" t="s">
        <v>147</v>
      </c>
      <c r="AB67" s="211" t="s">
        <v>851</v>
      </c>
      <c r="AC67" s="122" t="s">
        <v>674</v>
      </c>
      <c r="AD67" s="123" t="s">
        <v>44</v>
      </c>
      <c r="AE67" s="122" t="s">
        <v>852</v>
      </c>
      <c r="AF67" s="124" t="s">
        <v>676</v>
      </c>
      <c r="AG67" s="24" t="s">
        <v>853</v>
      </c>
      <c r="AH67" s="24" t="s">
        <v>854</v>
      </c>
      <c r="AI67" s="125" t="s">
        <v>68</v>
      </c>
      <c r="AJ67" s="126">
        <v>1.33</v>
      </c>
      <c r="AK67" s="122" t="s">
        <v>76</v>
      </c>
      <c r="AL67" s="122" t="s">
        <v>46</v>
      </c>
      <c r="AM67" s="122" t="s">
        <v>46</v>
      </c>
      <c r="AN67" s="212">
        <f t="shared" si="1"/>
        <v>470</v>
      </c>
      <c r="AO67" s="114">
        <v>0</v>
      </c>
      <c r="AP67" s="114">
        <v>0</v>
      </c>
      <c r="AQ67" s="114">
        <v>470</v>
      </c>
      <c r="AR67" s="114">
        <v>0</v>
      </c>
      <c r="AS67" s="114">
        <v>0</v>
      </c>
      <c r="AT67" s="114">
        <v>70</v>
      </c>
      <c r="AU67" s="212">
        <f t="shared" si="2"/>
        <v>400</v>
      </c>
      <c r="AV67" s="114">
        <v>0</v>
      </c>
      <c r="AW67" s="127">
        <v>1560</v>
      </c>
      <c r="AX67" s="122" t="s">
        <v>679</v>
      </c>
      <c r="AY67" s="128" t="s">
        <v>855</v>
      </c>
      <c r="AZ67" s="128" t="s">
        <v>126</v>
      </c>
      <c r="BA67" s="128" t="s">
        <v>737</v>
      </c>
      <c r="BB67" s="114">
        <v>1</v>
      </c>
      <c r="BC67" s="204"/>
      <c r="BD67" s="204"/>
      <c r="BE67" s="213">
        <f t="shared" si="3"/>
        <v>0</v>
      </c>
      <c r="BF67" s="213">
        <f t="shared" si="4"/>
        <v>0</v>
      </c>
      <c r="BG67" s="213">
        <f t="shared" si="5"/>
        <v>0</v>
      </c>
      <c r="BH67" s="213">
        <f t="shared" si="6"/>
        <v>0</v>
      </c>
      <c r="BI67" s="213">
        <f t="shared" si="7"/>
        <v>0</v>
      </c>
      <c r="BJ67" s="213">
        <f t="shared" si="8"/>
        <v>0</v>
      </c>
      <c r="BK67" s="213">
        <f t="shared" si="9"/>
        <v>0</v>
      </c>
      <c r="BL67" s="213">
        <f t="shared" si="10"/>
        <v>0</v>
      </c>
      <c r="BM67" s="213">
        <f t="shared" si="11"/>
        <v>0</v>
      </c>
      <c r="BN67" s="213">
        <f t="shared" si="12"/>
        <v>0</v>
      </c>
      <c r="BO67" s="213">
        <f t="shared" si="13"/>
        <v>0</v>
      </c>
      <c r="BP67" s="213">
        <f t="shared" si="14"/>
        <v>0</v>
      </c>
      <c r="BQ67" s="205" t="str">
        <f t="shared" si="15"/>
        <v>08,55 2023.11.05</v>
      </c>
      <c r="BR67" s="205" t="str">
        <f t="shared" si="16"/>
        <v>10,15 2023.11.05</v>
      </c>
      <c r="BS67" s="206" t="str">
        <f t="shared" si="17"/>
        <v>В</v>
      </c>
      <c r="BT67" s="207">
        <f t="shared" si="18"/>
        <v>1.33</v>
      </c>
      <c r="BU67" s="212">
        <f t="shared" si="19"/>
        <v>470</v>
      </c>
      <c r="BV67" s="195">
        <f t="shared" si="20"/>
        <v>0</v>
      </c>
      <c r="BW67" s="195">
        <f t="shared" si="21"/>
        <v>0</v>
      </c>
      <c r="BX67" s="195">
        <f t="shared" si="22"/>
        <v>470</v>
      </c>
      <c r="BY67" s="195">
        <f t="shared" si="23"/>
        <v>0</v>
      </c>
      <c r="BZ67" s="195">
        <f t="shared" si="24"/>
        <v>0</v>
      </c>
      <c r="CA67" s="195">
        <f t="shared" si="25"/>
        <v>70</v>
      </c>
      <c r="CB67" s="212">
        <f t="shared" si="26"/>
        <v>400</v>
      </c>
      <c r="CC67" s="195">
        <f t="shared" si="27"/>
        <v>0</v>
      </c>
      <c r="CD67" s="214">
        <f t="shared" si="28"/>
        <v>1</v>
      </c>
      <c r="CE67" s="206"/>
      <c r="CF67" s="215">
        <f t="shared" si="29"/>
        <v>0</v>
      </c>
      <c r="CG67" s="215">
        <f t="shared" si="30"/>
        <v>0</v>
      </c>
      <c r="CH67" s="215">
        <f t="shared" si="31"/>
        <v>0</v>
      </c>
      <c r="CI67" s="215">
        <f t="shared" si="32"/>
        <v>0</v>
      </c>
      <c r="CJ67" s="215">
        <f t="shared" si="33"/>
        <v>0</v>
      </c>
      <c r="CK67" s="215">
        <f t="shared" si="34"/>
        <v>0</v>
      </c>
      <c r="CL67" s="215">
        <f t="shared" si="35"/>
        <v>0</v>
      </c>
      <c r="CM67" s="215">
        <f t="shared" si="36"/>
        <v>0</v>
      </c>
      <c r="CN67" s="215">
        <f t="shared" si="37"/>
        <v>0</v>
      </c>
      <c r="CO67" s="215">
        <f t="shared" si="38"/>
        <v>0</v>
      </c>
      <c r="CP67" s="215">
        <f t="shared" si="39"/>
        <v>0</v>
      </c>
      <c r="CQ67" s="215">
        <f t="shared" si="40"/>
        <v>0</v>
      </c>
      <c r="CR67" s="300"/>
    </row>
    <row r="68" spans="1:96" s="217" customFormat="1" ht="26.25" customHeight="1" x14ac:dyDescent="0.25">
      <c r="A68" s="208" t="s">
        <v>672</v>
      </c>
      <c r="B68" s="208"/>
      <c r="D68" s="208">
        <v>15</v>
      </c>
      <c r="AA68" s="210" t="s">
        <v>147</v>
      </c>
      <c r="AB68" s="211" t="s">
        <v>856</v>
      </c>
      <c r="AC68" s="122" t="s">
        <v>674</v>
      </c>
      <c r="AD68" s="123" t="s">
        <v>44</v>
      </c>
      <c r="AE68" s="122" t="s">
        <v>857</v>
      </c>
      <c r="AF68" s="124" t="s">
        <v>676</v>
      </c>
      <c r="AG68" s="24" t="s">
        <v>858</v>
      </c>
      <c r="AH68" s="24" t="s">
        <v>859</v>
      </c>
      <c r="AI68" s="125" t="s">
        <v>68</v>
      </c>
      <c r="AJ68" s="126">
        <v>1.67</v>
      </c>
      <c r="AK68" s="122" t="s">
        <v>76</v>
      </c>
      <c r="AL68" s="122" t="s">
        <v>46</v>
      </c>
      <c r="AM68" s="122" t="s">
        <v>46</v>
      </c>
      <c r="AN68" s="212">
        <f t="shared" si="1"/>
        <v>380</v>
      </c>
      <c r="AO68" s="114">
        <v>0</v>
      </c>
      <c r="AP68" s="114">
        <v>0</v>
      </c>
      <c r="AQ68" s="114">
        <v>380</v>
      </c>
      <c r="AR68" s="114">
        <v>0</v>
      </c>
      <c r="AS68" s="114">
        <v>0</v>
      </c>
      <c r="AT68" s="114">
        <v>55</v>
      </c>
      <c r="AU68" s="212">
        <f t="shared" si="2"/>
        <v>325</v>
      </c>
      <c r="AV68" s="114">
        <v>0</v>
      </c>
      <c r="AW68" s="127">
        <v>960</v>
      </c>
      <c r="AX68" s="122" t="s">
        <v>679</v>
      </c>
      <c r="AY68" s="128" t="s">
        <v>860</v>
      </c>
      <c r="AZ68" s="128" t="s">
        <v>126</v>
      </c>
      <c r="BA68" s="128" t="s">
        <v>737</v>
      </c>
      <c r="BB68" s="114">
        <v>1</v>
      </c>
      <c r="BC68" s="204"/>
      <c r="BD68" s="204"/>
      <c r="BE68" s="213">
        <f t="shared" si="3"/>
        <v>0</v>
      </c>
      <c r="BF68" s="213">
        <f t="shared" si="4"/>
        <v>0</v>
      </c>
      <c r="BG68" s="213">
        <f t="shared" si="5"/>
        <v>0</v>
      </c>
      <c r="BH68" s="213">
        <f t="shared" si="6"/>
        <v>0</v>
      </c>
      <c r="BI68" s="213">
        <f t="shared" si="7"/>
        <v>0</v>
      </c>
      <c r="BJ68" s="213">
        <f t="shared" si="8"/>
        <v>0</v>
      </c>
      <c r="BK68" s="213">
        <f t="shared" si="9"/>
        <v>0</v>
      </c>
      <c r="BL68" s="213">
        <f t="shared" si="10"/>
        <v>0</v>
      </c>
      <c r="BM68" s="213">
        <f t="shared" si="11"/>
        <v>0</v>
      </c>
      <c r="BN68" s="213">
        <f t="shared" si="12"/>
        <v>0</v>
      </c>
      <c r="BO68" s="213">
        <f t="shared" si="13"/>
        <v>0</v>
      </c>
      <c r="BP68" s="213">
        <f t="shared" si="14"/>
        <v>0</v>
      </c>
      <c r="BQ68" s="205" t="str">
        <f t="shared" si="15"/>
        <v>11,00 2023.11.05</v>
      </c>
      <c r="BR68" s="205" t="str">
        <f t="shared" si="16"/>
        <v>12,40 2023.11.05</v>
      </c>
      <c r="BS68" s="206" t="str">
        <f t="shared" si="17"/>
        <v>В</v>
      </c>
      <c r="BT68" s="207">
        <f t="shared" si="18"/>
        <v>1.67</v>
      </c>
      <c r="BU68" s="212">
        <f t="shared" si="19"/>
        <v>380</v>
      </c>
      <c r="BV68" s="195">
        <f t="shared" si="20"/>
        <v>0</v>
      </c>
      <c r="BW68" s="195">
        <f t="shared" si="21"/>
        <v>0</v>
      </c>
      <c r="BX68" s="195">
        <f t="shared" si="22"/>
        <v>380</v>
      </c>
      <c r="BY68" s="195">
        <f t="shared" si="23"/>
        <v>0</v>
      </c>
      <c r="BZ68" s="195">
        <f t="shared" si="24"/>
        <v>0</v>
      </c>
      <c r="CA68" s="195">
        <f t="shared" si="25"/>
        <v>55</v>
      </c>
      <c r="CB68" s="212">
        <f t="shared" si="26"/>
        <v>325</v>
      </c>
      <c r="CC68" s="195">
        <f t="shared" si="27"/>
        <v>0</v>
      </c>
      <c r="CD68" s="214">
        <f t="shared" si="28"/>
        <v>1</v>
      </c>
      <c r="CE68" s="206"/>
      <c r="CF68" s="215">
        <f t="shared" si="29"/>
        <v>0</v>
      </c>
      <c r="CG68" s="215">
        <f t="shared" si="30"/>
        <v>0</v>
      </c>
      <c r="CH68" s="215">
        <f t="shared" si="31"/>
        <v>0</v>
      </c>
      <c r="CI68" s="215">
        <f t="shared" si="32"/>
        <v>0</v>
      </c>
      <c r="CJ68" s="215">
        <f t="shared" si="33"/>
        <v>0</v>
      </c>
      <c r="CK68" s="215">
        <f t="shared" si="34"/>
        <v>0</v>
      </c>
      <c r="CL68" s="215">
        <f t="shared" si="35"/>
        <v>0</v>
      </c>
      <c r="CM68" s="215">
        <f t="shared" si="36"/>
        <v>0</v>
      </c>
      <c r="CN68" s="215">
        <f t="shared" si="37"/>
        <v>0</v>
      </c>
      <c r="CO68" s="215">
        <f t="shared" si="38"/>
        <v>0</v>
      </c>
      <c r="CP68" s="215">
        <f t="shared" si="39"/>
        <v>0</v>
      </c>
      <c r="CQ68" s="215">
        <f t="shared" si="40"/>
        <v>0</v>
      </c>
      <c r="CR68" s="300"/>
    </row>
    <row r="69" spans="1:96" s="217" customFormat="1" ht="26.25" customHeight="1" x14ac:dyDescent="0.25">
      <c r="A69" s="208" t="s">
        <v>672</v>
      </c>
      <c r="B69" s="208"/>
      <c r="D69" s="208">
        <v>15</v>
      </c>
      <c r="AA69" s="210" t="s">
        <v>147</v>
      </c>
      <c r="AB69" s="211" t="s">
        <v>861</v>
      </c>
      <c r="AC69" s="122" t="s">
        <v>674</v>
      </c>
      <c r="AD69" s="123" t="s">
        <v>44</v>
      </c>
      <c r="AE69" s="122" t="s">
        <v>862</v>
      </c>
      <c r="AF69" s="124" t="s">
        <v>676</v>
      </c>
      <c r="AG69" s="24" t="s">
        <v>858</v>
      </c>
      <c r="AH69" s="24" t="s">
        <v>863</v>
      </c>
      <c r="AI69" s="125" t="s">
        <v>68</v>
      </c>
      <c r="AJ69" s="126">
        <v>1.75</v>
      </c>
      <c r="AK69" s="122" t="s">
        <v>76</v>
      </c>
      <c r="AL69" s="122" t="s">
        <v>46</v>
      </c>
      <c r="AM69" s="122" t="s">
        <v>46</v>
      </c>
      <c r="AN69" s="212">
        <f t="shared" si="1"/>
        <v>380</v>
      </c>
      <c r="AO69" s="114">
        <v>0</v>
      </c>
      <c r="AP69" s="114">
        <v>0</v>
      </c>
      <c r="AQ69" s="114">
        <v>380</v>
      </c>
      <c r="AR69" s="114">
        <v>0</v>
      </c>
      <c r="AS69" s="114">
        <v>0</v>
      </c>
      <c r="AT69" s="114">
        <v>55</v>
      </c>
      <c r="AU69" s="212">
        <f t="shared" si="2"/>
        <v>325</v>
      </c>
      <c r="AV69" s="114">
        <v>0</v>
      </c>
      <c r="AW69" s="127">
        <v>960</v>
      </c>
      <c r="AX69" s="122" t="s">
        <v>679</v>
      </c>
      <c r="AY69" s="128" t="s">
        <v>864</v>
      </c>
      <c r="AZ69" s="128" t="s">
        <v>126</v>
      </c>
      <c r="BA69" s="128" t="s">
        <v>737</v>
      </c>
      <c r="BB69" s="114">
        <v>1</v>
      </c>
      <c r="BC69" s="204"/>
      <c r="BD69" s="204"/>
      <c r="BE69" s="213">
        <f t="shared" si="3"/>
        <v>0</v>
      </c>
      <c r="BF69" s="213">
        <f t="shared" si="4"/>
        <v>0</v>
      </c>
      <c r="BG69" s="213">
        <f t="shared" si="5"/>
        <v>0</v>
      </c>
      <c r="BH69" s="213">
        <f t="shared" si="6"/>
        <v>0</v>
      </c>
      <c r="BI69" s="213">
        <f t="shared" si="7"/>
        <v>0</v>
      </c>
      <c r="BJ69" s="213">
        <f t="shared" si="8"/>
        <v>0</v>
      </c>
      <c r="BK69" s="213">
        <f t="shared" si="9"/>
        <v>0</v>
      </c>
      <c r="BL69" s="213">
        <f t="shared" si="10"/>
        <v>0</v>
      </c>
      <c r="BM69" s="213">
        <f t="shared" si="11"/>
        <v>0</v>
      </c>
      <c r="BN69" s="213">
        <f t="shared" si="12"/>
        <v>0</v>
      </c>
      <c r="BO69" s="213">
        <f t="shared" si="13"/>
        <v>0</v>
      </c>
      <c r="BP69" s="213">
        <f t="shared" si="14"/>
        <v>0</v>
      </c>
      <c r="BQ69" s="205" t="str">
        <f t="shared" si="15"/>
        <v>11,00 2023.11.05</v>
      </c>
      <c r="BR69" s="205" t="str">
        <f t="shared" si="16"/>
        <v>12,45 2023.11.05</v>
      </c>
      <c r="BS69" s="206" t="str">
        <f t="shared" si="17"/>
        <v>В</v>
      </c>
      <c r="BT69" s="207">
        <f t="shared" si="18"/>
        <v>1.75</v>
      </c>
      <c r="BU69" s="212">
        <f t="shared" si="19"/>
        <v>380</v>
      </c>
      <c r="BV69" s="195">
        <f t="shared" si="20"/>
        <v>0</v>
      </c>
      <c r="BW69" s="195">
        <f t="shared" si="21"/>
        <v>0</v>
      </c>
      <c r="BX69" s="195">
        <f t="shared" si="22"/>
        <v>380</v>
      </c>
      <c r="BY69" s="195">
        <f t="shared" si="23"/>
        <v>0</v>
      </c>
      <c r="BZ69" s="195">
        <f t="shared" si="24"/>
        <v>0</v>
      </c>
      <c r="CA69" s="195">
        <f t="shared" si="25"/>
        <v>55</v>
      </c>
      <c r="CB69" s="212">
        <f t="shared" si="26"/>
        <v>325</v>
      </c>
      <c r="CC69" s="195">
        <f t="shared" si="27"/>
        <v>0</v>
      </c>
      <c r="CD69" s="214">
        <f t="shared" si="28"/>
        <v>1</v>
      </c>
      <c r="CE69" s="206"/>
      <c r="CF69" s="215">
        <f t="shared" si="29"/>
        <v>0</v>
      </c>
      <c r="CG69" s="215">
        <f t="shared" si="30"/>
        <v>0</v>
      </c>
      <c r="CH69" s="215">
        <f t="shared" si="31"/>
        <v>0</v>
      </c>
      <c r="CI69" s="215">
        <f t="shared" si="32"/>
        <v>0</v>
      </c>
      <c r="CJ69" s="215">
        <f t="shared" si="33"/>
        <v>0</v>
      </c>
      <c r="CK69" s="215">
        <f t="shared" si="34"/>
        <v>0</v>
      </c>
      <c r="CL69" s="215">
        <f t="shared" si="35"/>
        <v>0</v>
      </c>
      <c r="CM69" s="215">
        <f t="shared" si="36"/>
        <v>0</v>
      </c>
      <c r="CN69" s="215">
        <f t="shared" si="37"/>
        <v>0</v>
      </c>
      <c r="CO69" s="215">
        <f t="shared" si="38"/>
        <v>0</v>
      </c>
      <c r="CP69" s="215">
        <f t="shared" si="39"/>
        <v>0</v>
      </c>
      <c r="CQ69" s="215">
        <f t="shared" si="40"/>
        <v>0</v>
      </c>
      <c r="CR69" s="300"/>
    </row>
    <row r="70" spans="1:96" s="217" customFormat="1" ht="35.25" customHeight="1" x14ac:dyDescent="0.25">
      <c r="A70" s="208" t="s">
        <v>672</v>
      </c>
      <c r="B70" s="208"/>
      <c r="D70" s="208">
        <v>15</v>
      </c>
      <c r="AA70" s="210" t="s">
        <v>147</v>
      </c>
      <c r="AB70" s="211" t="s">
        <v>865</v>
      </c>
      <c r="AC70" s="122" t="s">
        <v>674</v>
      </c>
      <c r="AD70" s="123" t="s">
        <v>44</v>
      </c>
      <c r="AE70" s="122" t="s">
        <v>770</v>
      </c>
      <c r="AF70" s="124" t="s">
        <v>676</v>
      </c>
      <c r="AG70" s="24" t="s">
        <v>866</v>
      </c>
      <c r="AH70" s="24" t="s">
        <v>867</v>
      </c>
      <c r="AI70" s="125" t="s">
        <v>68</v>
      </c>
      <c r="AJ70" s="126">
        <v>0.25</v>
      </c>
      <c r="AK70" s="122" t="s">
        <v>76</v>
      </c>
      <c r="AL70" s="122" t="s">
        <v>46</v>
      </c>
      <c r="AM70" s="122" t="s">
        <v>46</v>
      </c>
      <c r="AN70" s="212">
        <f t="shared" si="1"/>
        <v>561</v>
      </c>
      <c r="AO70" s="114">
        <v>0</v>
      </c>
      <c r="AP70" s="114">
        <v>0</v>
      </c>
      <c r="AQ70" s="114">
        <v>560</v>
      </c>
      <c r="AR70" s="114">
        <v>0</v>
      </c>
      <c r="AS70" s="114">
        <v>0</v>
      </c>
      <c r="AT70" s="114">
        <v>69</v>
      </c>
      <c r="AU70" s="212">
        <f t="shared" si="2"/>
        <v>491</v>
      </c>
      <c r="AV70" s="114">
        <v>1</v>
      </c>
      <c r="AW70" s="127">
        <v>1980</v>
      </c>
      <c r="AX70" s="122" t="s">
        <v>844</v>
      </c>
      <c r="AY70" s="128" t="s">
        <v>868</v>
      </c>
      <c r="AZ70" s="128" t="s">
        <v>126</v>
      </c>
      <c r="BA70" s="128" t="s">
        <v>737</v>
      </c>
      <c r="BB70" s="114">
        <v>0</v>
      </c>
      <c r="BC70" s="204"/>
      <c r="BD70" s="204"/>
      <c r="BE70" s="213">
        <f t="shared" si="3"/>
        <v>0</v>
      </c>
      <c r="BF70" s="213">
        <f t="shared" si="4"/>
        <v>0</v>
      </c>
      <c r="BG70" s="213">
        <f t="shared" si="5"/>
        <v>0</v>
      </c>
      <c r="BH70" s="213">
        <f t="shared" si="6"/>
        <v>0</v>
      </c>
      <c r="BI70" s="213">
        <f t="shared" si="7"/>
        <v>0</v>
      </c>
      <c r="BJ70" s="213">
        <f t="shared" si="8"/>
        <v>0</v>
      </c>
      <c r="BK70" s="213">
        <f t="shared" si="9"/>
        <v>0</v>
      </c>
      <c r="BL70" s="213">
        <f t="shared" si="10"/>
        <v>0</v>
      </c>
      <c r="BM70" s="213">
        <f t="shared" si="11"/>
        <v>0</v>
      </c>
      <c r="BN70" s="213">
        <f t="shared" si="12"/>
        <v>0</v>
      </c>
      <c r="BO70" s="213">
        <f t="shared" si="13"/>
        <v>0</v>
      </c>
      <c r="BP70" s="213">
        <f t="shared" si="14"/>
        <v>0</v>
      </c>
      <c r="BQ70" s="205" t="str">
        <f t="shared" si="15"/>
        <v>16,10 2023.11.09</v>
      </c>
      <c r="BR70" s="205" t="str">
        <f t="shared" si="16"/>
        <v>16,25 2023.11.09</v>
      </c>
      <c r="BS70" s="206" t="str">
        <f t="shared" si="17"/>
        <v>В</v>
      </c>
      <c r="BT70" s="207">
        <f t="shared" si="18"/>
        <v>0.25</v>
      </c>
      <c r="BU70" s="212">
        <f t="shared" si="19"/>
        <v>561</v>
      </c>
      <c r="BV70" s="195">
        <f t="shared" si="20"/>
        <v>0</v>
      </c>
      <c r="BW70" s="195">
        <f t="shared" si="21"/>
        <v>0</v>
      </c>
      <c r="BX70" s="195">
        <f t="shared" si="22"/>
        <v>560</v>
      </c>
      <c r="BY70" s="195">
        <f t="shared" si="23"/>
        <v>0</v>
      </c>
      <c r="BZ70" s="195">
        <f t="shared" si="24"/>
        <v>0</v>
      </c>
      <c r="CA70" s="195">
        <f t="shared" si="25"/>
        <v>69</v>
      </c>
      <c r="CB70" s="212">
        <f t="shared" si="26"/>
        <v>491</v>
      </c>
      <c r="CC70" s="195">
        <f t="shared" si="27"/>
        <v>1</v>
      </c>
      <c r="CD70" s="214">
        <f t="shared" si="28"/>
        <v>0</v>
      </c>
      <c r="CE70" s="206"/>
      <c r="CF70" s="215">
        <f t="shared" si="29"/>
        <v>0</v>
      </c>
      <c r="CG70" s="215">
        <f t="shared" si="30"/>
        <v>0</v>
      </c>
      <c r="CH70" s="215">
        <f t="shared" si="31"/>
        <v>0</v>
      </c>
      <c r="CI70" s="215">
        <f t="shared" si="32"/>
        <v>0</v>
      </c>
      <c r="CJ70" s="215">
        <f t="shared" si="33"/>
        <v>0</v>
      </c>
      <c r="CK70" s="215">
        <f t="shared" si="34"/>
        <v>0</v>
      </c>
      <c r="CL70" s="215">
        <f t="shared" si="35"/>
        <v>0</v>
      </c>
      <c r="CM70" s="215">
        <f t="shared" si="36"/>
        <v>0</v>
      </c>
      <c r="CN70" s="215">
        <f t="shared" si="37"/>
        <v>0</v>
      </c>
      <c r="CO70" s="215">
        <f t="shared" si="38"/>
        <v>0</v>
      </c>
      <c r="CP70" s="215">
        <f t="shared" si="39"/>
        <v>0</v>
      </c>
      <c r="CQ70" s="215">
        <f t="shared" si="40"/>
        <v>0</v>
      </c>
      <c r="CR70" s="300"/>
    </row>
    <row r="71" spans="1:96" s="217" customFormat="1" ht="26.25" customHeight="1" x14ac:dyDescent="0.25">
      <c r="A71" s="208" t="s">
        <v>672</v>
      </c>
      <c r="B71" s="208"/>
      <c r="D71" s="208">
        <v>15</v>
      </c>
      <c r="AA71" s="210" t="s">
        <v>147</v>
      </c>
      <c r="AB71" s="211" t="s">
        <v>869</v>
      </c>
      <c r="AC71" s="122" t="s">
        <v>674</v>
      </c>
      <c r="AD71" s="123" t="s">
        <v>44</v>
      </c>
      <c r="AE71" s="122" t="s">
        <v>870</v>
      </c>
      <c r="AF71" s="124" t="s">
        <v>676</v>
      </c>
      <c r="AG71" s="24" t="s">
        <v>871</v>
      </c>
      <c r="AH71" s="24" t="s">
        <v>872</v>
      </c>
      <c r="AI71" s="125" t="s">
        <v>68</v>
      </c>
      <c r="AJ71" s="126">
        <v>0.5</v>
      </c>
      <c r="AK71" s="122" t="s">
        <v>76</v>
      </c>
      <c r="AL71" s="122" t="s">
        <v>46</v>
      </c>
      <c r="AM71" s="122" t="s">
        <v>46</v>
      </c>
      <c r="AN71" s="212">
        <f t="shared" si="1"/>
        <v>450</v>
      </c>
      <c r="AO71" s="114">
        <v>0</v>
      </c>
      <c r="AP71" s="114">
        <v>0</v>
      </c>
      <c r="AQ71" s="114">
        <v>450</v>
      </c>
      <c r="AR71" s="114">
        <v>0</v>
      </c>
      <c r="AS71" s="114">
        <v>0</v>
      </c>
      <c r="AT71" s="114">
        <v>50</v>
      </c>
      <c r="AU71" s="212">
        <f t="shared" si="2"/>
        <v>400</v>
      </c>
      <c r="AV71" s="114">
        <v>0</v>
      </c>
      <c r="AW71" s="127">
        <v>1200</v>
      </c>
      <c r="AX71" s="122" t="s">
        <v>679</v>
      </c>
      <c r="AY71" s="128" t="s">
        <v>873</v>
      </c>
      <c r="AZ71" s="128" t="s">
        <v>126</v>
      </c>
      <c r="BA71" s="128" t="s">
        <v>737</v>
      </c>
      <c r="BB71" s="114">
        <v>1</v>
      </c>
      <c r="BC71" s="204"/>
      <c r="BD71" s="204"/>
      <c r="BE71" s="213">
        <f t="shared" si="3"/>
        <v>0</v>
      </c>
      <c r="BF71" s="213">
        <f t="shared" si="4"/>
        <v>0</v>
      </c>
      <c r="BG71" s="213">
        <f t="shared" si="5"/>
        <v>0</v>
      </c>
      <c r="BH71" s="213">
        <f t="shared" si="6"/>
        <v>0</v>
      </c>
      <c r="BI71" s="213">
        <f t="shared" si="7"/>
        <v>0</v>
      </c>
      <c r="BJ71" s="213">
        <f t="shared" si="8"/>
        <v>0</v>
      </c>
      <c r="BK71" s="213">
        <f t="shared" si="9"/>
        <v>0</v>
      </c>
      <c r="BL71" s="213">
        <f t="shared" si="10"/>
        <v>0</v>
      </c>
      <c r="BM71" s="213">
        <f t="shared" si="11"/>
        <v>0</v>
      </c>
      <c r="BN71" s="213">
        <f t="shared" si="12"/>
        <v>0</v>
      </c>
      <c r="BO71" s="213">
        <f t="shared" si="13"/>
        <v>0</v>
      </c>
      <c r="BP71" s="213">
        <f t="shared" si="14"/>
        <v>0</v>
      </c>
      <c r="BQ71" s="205" t="str">
        <f t="shared" si="15"/>
        <v>13,00 2023.11.24</v>
      </c>
      <c r="BR71" s="205" t="str">
        <f t="shared" si="16"/>
        <v>13,30 2023.11.24</v>
      </c>
      <c r="BS71" s="206" t="str">
        <f t="shared" si="17"/>
        <v>В</v>
      </c>
      <c r="BT71" s="207">
        <f t="shared" si="18"/>
        <v>0.5</v>
      </c>
      <c r="BU71" s="212">
        <f t="shared" si="19"/>
        <v>450</v>
      </c>
      <c r="BV71" s="195">
        <f t="shared" si="20"/>
        <v>0</v>
      </c>
      <c r="BW71" s="195">
        <f t="shared" si="21"/>
        <v>0</v>
      </c>
      <c r="BX71" s="195">
        <f t="shared" si="22"/>
        <v>450</v>
      </c>
      <c r="BY71" s="195">
        <f t="shared" si="23"/>
        <v>0</v>
      </c>
      <c r="BZ71" s="195">
        <f t="shared" si="24"/>
        <v>0</v>
      </c>
      <c r="CA71" s="195">
        <f t="shared" si="25"/>
        <v>50</v>
      </c>
      <c r="CB71" s="212">
        <f t="shared" si="26"/>
        <v>400</v>
      </c>
      <c r="CC71" s="195">
        <f t="shared" si="27"/>
        <v>0</v>
      </c>
      <c r="CD71" s="214">
        <f t="shared" si="28"/>
        <v>1</v>
      </c>
      <c r="CE71" s="206"/>
      <c r="CF71" s="215">
        <f t="shared" si="29"/>
        <v>0</v>
      </c>
      <c r="CG71" s="215">
        <f t="shared" si="30"/>
        <v>0</v>
      </c>
      <c r="CH71" s="215">
        <f t="shared" si="31"/>
        <v>0</v>
      </c>
      <c r="CI71" s="215">
        <f t="shared" si="32"/>
        <v>0</v>
      </c>
      <c r="CJ71" s="215">
        <f t="shared" si="33"/>
        <v>0</v>
      </c>
      <c r="CK71" s="215">
        <f t="shared" si="34"/>
        <v>0</v>
      </c>
      <c r="CL71" s="215">
        <f t="shared" si="35"/>
        <v>0</v>
      </c>
      <c r="CM71" s="215">
        <f t="shared" si="36"/>
        <v>0</v>
      </c>
      <c r="CN71" s="215">
        <f t="shared" si="37"/>
        <v>0</v>
      </c>
      <c r="CO71" s="215">
        <f t="shared" si="38"/>
        <v>0</v>
      </c>
      <c r="CP71" s="215">
        <f t="shared" si="39"/>
        <v>0</v>
      </c>
      <c r="CQ71" s="215">
        <f t="shared" si="40"/>
        <v>0</v>
      </c>
      <c r="CR71" s="300"/>
    </row>
    <row r="72" spans="1:96" s="217" customFormat="1" ht="26.25" customHeight="1" x14ac:dyDescent="0.25">
      <c r="A72" s="208" t="s">
        <v>672</v>
      </c>
      <c r="B72" s="208"/>
      <c r="D72" s="208">
        <v>15</v>
      </c>
      <c r="AA72" s="210" t="s">
        <v>147</v>
      </c>
      <c r="AB72" s="211" t="s">
        <v>874</v>
      </c>
      <c r="AC72" s="122" t="s">
        <v>674</v>
      </c>
      <c r="AD72" s="123" t="s">
        <v>44</v>
      </c>
      <c r="AE72" s="122" t="s">
        <v>875</v>
      </c>
      <c r="AF72" s="124" t="s">
        <v>676</v>
      </c>
      <c r="AG72" s="24" t="s">
        <v>876</v>
      </c>
      <c r="AH72" s="24" t="s">
        <v>877</v>
      </c>
      <c r="AI72" s="125" t="s">
        <v>68</v>
      </c>
      <c r="AJ72" s="126">
        <v>0.75</v>
      </c>
      <c r="AK72" s="122" t="s">
        <v>76</v>
      </c>
      <c r="AL72" s="122" t="s">
        <v>46</v>
      </c>
      <c r="AM72" s="122" t="s">
        <v>46</v>
      </c>
      <c r="AN72" s="212">
        <f t="shared" si="1"/>
        <v>470</v>
      </c>
      <c r="AO72" s="114">
        <v>0</v>
      </c>
      <c r="AP72" s="114">
        <v>0</v>
      </c>
      <c r="AQ72" s="114">
        <v>470</v>
      </c>
      <c r="AR72" s="114">
        <v>0</v>
      </c>
      <c r="AS72" s="114">
        <v>0</v>
      </c>
      <c r="AT72" s="114">
        <v>55</v>
      </c>
      <c r="AU72" s="212">
        <f t="shared" si="2"/>
        <v>415</v>
      </c>
      <c r="AV72" s="114">
        <v>0</v>
      </c>
      <c r="AW72" s="127">
        <v>975</v>
      </c>
      <c r="AX72" s="122" t="s">
        <v>679</v>
      </c>
      <c r="AY72" s="128" t="s">
        <v>878</v>
      </c>
      <c r="AZ72" s="128" t="s">
        <v>126</v>
      </c>
      <c r="BA72" s="128" t="s">
        <v>737</v>
      </c>
      <c r="BB72" s="114">
        <v>1</v>
      </c>
      <c r="BC72" s="204"/>
      <c r="BD72" s="204"/>
      <c r="BE72" s="213">
        <f t="shared" si="3"/>
        <v>0</v>
      </c>
      <c r="BF72" s="213">
        <f t="shared" si="4"/>
        <v>0</v>
      </c>
      <c r="BG72" s="213">
        <f t="shared" si="5"/>
        <v>0</v>
      </c>
      <c r="BH72" s="213">
        <f t="shared" si="6"/>
        <v>0</v>
      </c>
      <c r="BI72" s="213">
        <f t="shared" si="7"/>
        <v>0</v>
      </c>
      <c r="BJ72" s="213">
        <f t="shared" si="8"/>
        <v>0</v>
      </c>
      <c r="BK72" s="213">
        <f t="shared" si="9"/>
        <v>0</v>
      </c>
      <c r="BL72" s="213">
        <f t="shared" si="10"/>
        <v>0</v>
      </c>
      <c r="BM72" s="213">
        <f t="shared" si="11"/>
        <v>0</v>
      </c>
      <c r="BN72" s="213">
        <f t="shared" si="12"/>
        <v>0</v>
      </c>
      <c r="BO72" s="213">
        <f t="shared" si="13"/>
        <v>0</v>
      </c>
      <c r="BP72" s="213">
        <f t="shared" si="14"/>
        <v>0</v>
      </c>
      <c r="BQ72" s="205" t="str">
        <f t="shared" si="15"/>
        <v>03,35 2023.12.05</v>
      </c>
      <c r="BR72" s="205" t="str">
        <f t="shared" si="16"/>
        <v>04,20 2023.12.05</v>
      </c>
      <c r="BS72" s="206" t="str">
        <f t="shared" si="17"/>
        <v>В</v>
      </c>
      <c r="BT72" s="207">
        <f t="shared" si="18"/>
        <v>0.75</v>
      </c>
      <c r="BU72" s="212">
        <f t="shared" si="19"/>
        <v>470</v>
      </c>
      <c r="BV72" s="195">
        <f t="shared" si="20"/>
        <v>0</v>
      </c>
      <c r="BW72" s="195">
        <f t="shared" si="21"/>
        <v>0</v>
      </c>
      <c r="BX72" s="195">
        <f t="shared" si="22"/>
        <v>470</v>
      </c>
      <c r="BY72" s="195">
        <f t="shared" si="23"/>
        <v>0</v>
      </c>
      <c r="BZ72" s="195">
        <f t="shared" si="24"/>
        <v>0</v>
      </c>
      <c r="CA72" s="195">
        <f t="shared" si="25"/>
        <v>55</v>
      </c>
      <c r="CB72" s="212">
        <f t="shared" si="26"/>
        <v>415</v>
      </c>
      <c r="CC72" s="195">
        <f t="shared" si="27"/>
        <v>0</v>
      </c>
      <c r="CD72" s="214">
        <f t="shared" si="28"/>
        <v>1</v>
      </c>
      <c r="CE72" s="206"/>
      <c r="CF72" s="215">
        <f t="shared" si="29"/>
        <v>0</v>
      </c>
      <c r="CG72" s="215">
        <f t="shared" si="30"/>
        <v>0</v>
      </c>
      <c r="CH72" s="215">
        <f t="shared" si="31"/>
        <v>0</v>
      </c>
      <c r="CI72" s="215">
        <f t="shared" si="32"/>
        <v>0</v>
      </c>
      <c r="CJ72" s="215">
        <f t="shared" si="33"/>
        <v>0</v>
      </c>
      <c r="CK72" s="215">
        <f t="shared" si="34"/>
        <v>0</v>
      </c>
      <c r="CL72" s="215">
        <f t="shared" si="35"/>
        <v>0</v>
      </c>
      <c r="CM72" s="215">
        <f t="shared" si="36"/>
        <v>0</v>
      </c>
      <c r="CN72" s="215">
        <f t="shared" si="37"/>
        <v>0</v>
      </c>
      <c r="CO72" s="215">
        <f t="shared" si="38"/>
        <v>0</v>
      </c>
      <c r="CP72" s="215">
        <f t="shared" si="39"/>
        <v>0</v>
      </c>
      <c r="CQ72" s="215">
        <f t="shared" si="40"/>
        <v>0</v>
      </c>
      <c r="CR72" s="300"/>
    </row>
    <row r="73" spans="1:96" s="217" customFormat="1" ht="32.25" customHeight="1" x14ac:dyDescent="0.25">
      <c r="A73" s="208" t="s">
        <v>672</v>
      </c>
      <c r="B73" s="208"/>
      <c r="D73" s="208">
        <v>15</v>
      </c>
      <c r="AA73" s="210" t="s">
        <v>147</v>
      </c>
      <c r="AB73" s="211" t="s">
        <v>879</v>
      </c>
      <c r="AC73" s="122" t="s">
        <v>674</v>
      </c>
      <c r="AD73" s="123" t="s">
        <v>44</v>
      </c>
      <c r="AE73" s="122" t="s">
        <v>880</v>
      </c>
      <c r="AF73" s="124" t="s">
        <v>676</v>
      </c>
      <c r="AG73" s="24" t="s">
        <v>881</v>
      </c>
      <c r="AH73" s="24" t="s">
        <v>882</v>
      </c>
      <c r="AI73" s="125" t="s">
        <v>68</v>
      </c>
      <c r="AJ73" s="126">
        <v>0.75</v>
      </c>
      <c r="AK73" s="122" t="s">
        <v>76</v>
      </c>
      <c r="AL73" s="122" t="s">
        <v>46</v>
      </c>
      <c r="AM73" s="122" t="s">
        <v>46</v>
      </c>
      <c r="AN73" s="212">
        <f t="shared" si="1"/>
        <v>386</v>
      </c>
      <c r="AO73" s="114">
        <v>0</v>
      </c>
      <c r="AP73" s="114">
        <v>0</v>
      </c>
      <c r="AQ73" s="114">
        <v>385</v>
      </c>
      <c r="AR73" s="114">
        <v>0</v>
      </c>
      <c r="AS73" s="114">
        <v>0</v>
      </c>
      <c r="AT73" s="114">
        <v>55</v>
      </c>
      <c r="AU73" s="212">
        <f t="shared" si="2"/>
        <v>330</v>
      </c>
      <c r="AV73" s="114">
        <v>1</v>
      </c>
      <c r="AW73" s="127">
        <v>975</v>
      </c>
      <c r="AX73" s="122" t="s">
        <v>844</v>
      </c>
      <c r="AY73" s="128" t="s">
        <v>883</v>
      </c>
      <c r="AZ73" s="128" t="s">
        <v>126</v>
      </c>
      <c r="BA73" s="128" t="s">
        <v>737</v>
      </c>
      <c r="BB73" s="114">
        <v>1</v>
      </c>
      <c r="BC73" s="204"/>
      <c r="BD73" s="204"/>
      <c r="BE73" s="213">
        <f t="shared" si="3"/>
        <v>0</v>
      </c>
      <c r="BF73" s="213">
        <f t="shared" si="4"/>
        <v>0</v>
      </c>
      <c r="BG73" s="213">
        <f t="shared" si="5"/>
        <v>0</v>
      </c>
      <c r="BH73" s="213">
        <f t="shared" si="6"/>
        <v>0</v>
      </c>
      <c r="BI73" s="213">
        <f t="shared" si="7"/>
        <v>0</v>
      </c>
      <c r="BJ73" s="213">
        <f t="shared" si="8"/>
        <v>0</v>
      </c>
      <c r="BK73" s="213">
        <f t="shared" si="9"/>
        <v>0</v>
      </c>
      <c r="BL73" s="213">
        <f t="shared" si="10"/>
        <v>0</v>
      </c>
      <c r="BM73" s="213">
        <f t="shared" si="11"/>
        <v>0</v>
      </c>
      <c r="BN73" s="213">
        <f t="shared" si="12"/>
        <v>0</v>
      </c>
      <c r="BO73" s="213">
        <f t="shared" si="13"/>
        <v>0</v>
      </c>
      <c r="BP73" s="213">
        <f t="shared" si="14"/>
        <v>0</v>
      </c>
      <c r="BQ73" s="205" t="str">
        <f t="shared" si="15"/>
        <v>14,10 2023.12.06</v>
      </c>
      <c r="BR73" s="205" t="str">
        <f t="shared" si="16"/>
        <v>14,55 2023.12.06</v>
      </c>
      <c r="BS73" s="206" t="str">
        <f t="shared" si="17"/>
        <v>В</v>
      </c>
      <c r="BT73" s="207">
        <f t="shared" si="18"/>
        <v>0.75</v>
      </c>
      <c r="BU73" s="212">
        <f t="shared" si="19"/>
        <v>386</v>
      </c>
      <c r="BV73" s="195">
        <f t="shared" si="20"/>
        <v>0</v>
      </c>
      <c r="BW73" s="195">
        <f t="shared" si="21"/>
        <v>0</v>
      </c>
      <c r="BX73" s="195">
        <f t="shared" si="22"/>
        <v>385</v>
      </c>
      <c r="BY73" s="195">
        <f t="shared" si="23"/>
        <v>0</v>
      </c>
      <c r="BZ73" s="195">
        <f t="shared" si="24"/>
        <v>0</v>
      </c>
      <c r="CA73" s="195">
        <f t="shared" si="25"/>
        <v>55</v>
      </c>
      <c r="CB73" s="212">
        <f t="shared" si="26"/>
        <v>330</v>
      </c>
      <c r="CC73" s="195">
        <f t="shared" si="27"/>
        <v>1</v>
      </c>
      <c r="CD73" s="214">
        <f t="shared" si="28"/>
        <v>1</v>
      </c>
      <c r="CE73" s="206"/>
      <c r="CF73" s="215">
        <f t="shared" si="29"/>
        <v>0</v>
      </c>
      <c r="CG73" s="215">
        <f t="shared" si="30"/>
        <v>0</v>
      </c>
      <c r="CH73" s="215">
        <f t="shared" si="31"/>
        <v>0</v>
      </c>
      <c r="CI73" s="215">
        <f t="shared" si="32"/>
        <v>0</v>
      </c>
      <c r="CJ73" s="215">
        <f t="shared" si="33"/>
        <v>0</v>
      </c>
      <c r="CK73" s="215">
        <f t="shared" si="34"/>
        <v>0</v>
      </c>
      <c r="CL73" s="215">
        <f t="shared" si="35"/>
        <v>0</v>
      </c>
      <c r="CM73" s="215">
        <f t="shared" si="36"/>
        <v>0</v>
      </c>
      <c r="CN73" s="215">
        <f t="shared" si="37"/>
        <v>0</v>
      </c>
      <c r="CO73" s="215">
        <f t="shared" si="38"/>
        <v>0</v>
      </c>
      <c r="CP73" s="215">
        <f t="shared" si="39"/>
        <v>0</v>
      </c>
      <c r="CQ73" s="215">
        <f t="shared" si="40"/>
        <v>0</v>
      </c>
      <c r="CR73" s="300"/>
    </row>
    <row r="74" spans="1:96" s="217" customFormat="1" ht="26.25" customHeight="1" x14ac:dyDescent="0.25">
      <c r="A74" s="208" t="s">
        <v>672</v>
      </c>
      <c r="B74" s="208"/>
      <c r="D74" s="208">
        <v>15</v>
      </c>
      <c r="AA74" s="210" t="s">
        <v>147</v>
      </c>
      <c r="AB74" s="211" t="s">
        <v>884</v>
      </c>
      <c r="AC74" s="122" t="s">
        <v>674</v>
      </c>
      <c r="AD74" s="123" t="s">
        <v>44</v>
      </c>
      <c r="AE74" s="122" t="s">
        <v>885</v>
      </c>
      <c r="AF74" s="124" t="s">
        <v>676</v>
      </c>
      <c r="AG74" s="24" t="s">
        <v>881</v>
      </c>
      <c r="AH74" s="24" t="s">
        <v>886</v>
      </c>
      <c r="AI74" s="125" t="s">
        <v>68</v>
      </c>
      <c r="AJ74" s="126">
        <v>0.33</v>
      </c>
      <c r="AK74" s="122" t="s">
        <v>76</v>
      </c>
      <c r="AL74" s="122" t="s">
        <v>46</v>
      </c>
      <c r="AM74" s="122" t="s">
        <v>46</v>
      </c>
      <c r="AN74" s="212">
        <f t="shared" si="1"/>
        <v>360</v>
      </c>
      <c r="AO74" s="114">
        <v>0</v>
      </c>
      <c r="AP74" s="114">
        <v>0</v>
      </c>
      <c r="AQ74" s="114">
        <v>360</v>
      </c>
      <c r="AR74" s="114">
        <v>0</v>
      </c>
      <c r="AS74" s="114">
        <v>0</v>
      </c>
      <c r="AT74" s="114">
        <v>55</v>
      </c>
      <c r="AU74" s="212">
        <f t="shared" si="2"/>
        <v>305</v>
      </c>
      <c r="AV74" s="114">
        <v>0</v>
      </c>
      <c r="AW74" s="127">
        <v>865</v>
      </c>
      <c r="AX74" s="122" t="s">
        <v>679</v>
      </c>
      <c r="AY74" s="128" t="s">
        <v>887</v>
      </c>
      <c r="AZ74" s="128" t="s">
        <v>126</v>
      </c>
      <c r="BA74" s="128" t="s">
        <v>737</v>
      </c>
      <c r="BB74" s="114">
        <v>1</v>
      </c>
      <c r="BC74" s="204"/>
      <c r="BD74" s="204"/>
      <c r="BE74" s="213">
        <f t="shared" si="3"/>
        <v>0</v>
      </c>
      <c r="BF74" s="213">
        <f t="shared" si="4"/>
        <v>0</v>
      </c>
      <c r="BG74" s="213">
        <f t="shared" si="5"/>
        <v>0</v>
      </c>
      <c r="BH74" s="213">
        <f t="shared" si="6"/>
        <v>0</v>
      </c>
      <c r="BI74" s="213">
        <f t="shared" si="7"/>
        <v>0</v>
      </c>
      <c r="BJ74" s="213">
        <f t="shared" si="8"/>
        <v>0</v>
      </c>
      <c r="BK74" s="213">
        <f t="shared" si="9"/>
        <v>0</v>
      </c>
      <c r="BL74" s="213">
        <f t="shared" si="10"/>
        <v>0</v>
      </c>
      <c r="BM74" s="213">
        <f t="shared" si="11"/>
        <v>0</v>
      </c>
      <c r="BN74" s="213">
        <f t="shared" si="12"/>
        <v>0</v>
      </c>
      <c r="BO74" s="213">
        <f t="shared" si="13"/>
        <v>0</v>
      </c>
      <c r="BP74" s="213">
        <f t="shared" si="14"/>
        <v>0</v>
      </c>
      <c r="BQ74" s="205" t="str">
        <f t="shared" si="15"/>
        <v>14,10 2023.12.06</v>
      </c>
      <c r="BR74" s="205" t="str">
        <f t="shared" si="16"/>
        <v>14,30 2023.12.06</v>
      </c>
      <c r="BS74" s="206" t="str">
        <f t="shared" si="17"/>
        <v>В</v>
      </c>
      <c r="BT74" s="207">
        <f t="shared" si="18"/>
        <v>0.33</v>
      </c>
      <c r="BU74" s="212">
        <f t="shared" si="19"/>
        <v>360</v>
      </c>
      <c r="BV74" s="195">
        <f t="shared" si="20"/>
        <v>0</v>
      </c>
      <c r="BW74" s="195">
        <f t="shared" si="21"/>
        <v>0</v>
      </c>
      <c r="BX74" s="195">
        <f t="shared" si="22"/>
        <v>360</v>
      </c>
      <c r="BY74" s="195">
        <f t="shared" si="23"/>
        <v>0</v>
      </c>
      <c r="BZ74" s="195">
        <f t="shared" si="24"/>
        <v>0</v>
      </c>
      <c r="CA74" s="195">
        <f t="shared" si="25"/>
        <v>55</v>
      </c>
      <c r="CB74" s="212">
        <f t="shared" si="26"/>
        <v>305</v>
      </c>
      <c r="CC74" s="195">
        <f t="shared" si="27"/>
        <v>0</v>
      </c>
      <c r="CD74" s="214">
        <f t="shared" si="28"/>
        <v>1</v>
      </c>
      <c r="CE74" s="206"/>
      <c r="CF74" s="215">
        <f t="shared" si="29"/>
        <v>0</v>
      </c>
      <c r="CG74" s="215">
        <f t="shared" si="30"/>
        <v>0</v>
      </c>
      <c r="CH74" s="215">
        <f t="shared" si="31"/>
        <v>0</v>
      </c>
      <c r="CI74" s="215">
        <f t="shared" si="32"/>
        <v>0</v>
      </c>
      <c r="CJ74" s="215">
        <f t="shared" si="33"/>
        <v>0</v>
      </c>
      <c r="CK74" s="215">
        <f t="shared" si="34"/>
        <v>0</v>
      </c>
      <c r="CL74" s="215">
        <f t="shared" si="35"/>
        <v>0</v>
      </c>
      <c r="CM74" s="215">
        <f t="shared" si="36"/>
        <v>0</v>
      </c>
      <c r="CN74" s="215">
        <f t="shared" si="37"/>
        <v>0</v>
      </c>
      <c r="CO74" s="215">
        <f t="shared" si="38"/>
        <v>0</v>
      </c>
      <c r="CP74" s="215">
        <f t="shared" si="39"/>
        <v>0</v>
      </c>
      <c r="CQ74" s="215">
        <f t="shared" si="40"/>
        <v>0</v>
      </c>
      <c r="CR74" s="300"/>
    </row>
    <row r="75" spans="1:96" s="217" customFormat="1" ht="26.25" customHeight="1" x14ac:dyDescent="0.25">
      <c r="A75" s="208" t="s">
        <v>672</v>
      </c>
      <c r="B75" s="208"/>
      <c r="D75" s="208">
        <v>15</v>
      </c>
      <c r="AA75" s="210" t="s">
        <v>147</v>
      </c>
      <c r="AB75" s="211" t="s">
        <v>888</v>
      </c>
      <c r="AC75" s="122" t="s">
        <v>674</v>
      </c>
      <c r="AD75" s="123" t="s">
        <v>44</v>
      </c>
      <c r="AE75" s="122" t="s">
        <v>799</v>
      </c>
      <c r="AF75" s="124" t="s">
        <v>676</v>
      </c>
      <c r="AG75" s="24" t="s">
        <v>889</v>
      </c>
      <c r="AH75" s="24" t="s">
        <v>890</v>
      </c>
      <c r="AI75" s="125" t="s">
        <v>68</v>
      </c>
      <c r="AJ75" s="126">
        <v>0.5</v>
      </c>
      <c r="AK75" s="122" t="s">
        <v>76</v>
      </c>
      <c r="AL75" s="122" t="s">
        <v>46</v>
      </c>
      <c r="AM75" s="122" t="s">
        <v>46</v>
      </c>
      <c r="AN75" s="212">
        <f t="shared" si="1"/>
        <v>155</v>
      </c>
      <c r="AO75" s="114">
        <v>0</v>
      </c>
      <c r="AP75" s="114">
        <v>0</v>
      </c>
      <c r="AQ75" s="114">
        <v>155</v>
      </c>
      <c r="AR75" s="114">
        <v>0</v>
      </c>
      <c r="AS75" s="114">
        <v>0</v>
      </c>
      <c r="AT75" s="114">
        <v>55</v>
      </c>
      <c r="AU75" s="212">
        <f t="shared" si="2"/>
        <v>100</v>
      </c>
      <c r="AV75" s="114">
        <v>0</v>
      </c>
      <c r="AW75" s="127">
        <v>570</v>
      </c>
      <c r="AX75" s="122" t="s">
        <v>679</v>
      </c>
      <c r="AY75" s="128" t="s">
        <v>891</v>
      </c>
      <c r="AZ75" s="128" t="s">
        <v>126</v>
      </c>
      <c r="BA75" s="128" t="s">
        <v>737</v>
      </c>
      <c r="BB75" s="114">
        <v>0</v>
      </c>
      <c r="BC75" s="204"/>
      <c r="BD75" s="204"/>
      <c r="BE75" s="213">
        <f t="shared" si="3"/>
        <v>0</v>
      </c>
      <c r="BF75" s="213">
        <f t="shared" si="4"/>
        <v>0</v>
      </c>
      <c r="BG75" s="213">
        <f t="shared" si="5"/>
        <v>0</v>
      </c>
      <c r="BH75" s="213">
        <f t="shared" si="6"/>
        <v>0</v>
      </c>
      <c r="BI75" s="213">
        <f t="shared" si="7"/>
        <v>0</v>
      </c>
      <c r="BJ75" s="213">
        <f t="shared" si="8"/>
        <v>0</v>
      </c>
      <c r="BK75" s="213">
        <f t="shared" si="9"/>
        <v>0</v>
      </c>
      <c r="BL75" s="213">
        <f t="shared" si="10"/>
        <v>0</v>
      </c>
      <c r="BM75" s="213">
        <f t="shared" si="11"/>
        <v>0</v>
      </c>
      <c r="BN75" s="213">
        <f t="shared" si="12"/>
        <v>0</v>
      </c>
      <c r="BO75" s="213">
        <f t="shared" si="13"/>
        <v>0</v>
      </c>
      <c r="BP75" s="213">
        <f t="shared" si="14"/>
        <v>0</v>
      </c>
      <c r="BQ75" s="205" t="str">
        <f t="shared" si="15"/>
        <v>10,45 2023.12.13</v>
      </c>
      <c r="BR75" s="205" t="str">
        <f t="shared" si="16"/>
        <v>11,15 2023.12.13</v>
      </c>
      <c r="BS75" s="206" t="str">
        <f t="shared" si="17"/>
        <v>В</v>
      </c>
      <c r="BT75" s="207">
        <f t="shared" si="18"/>
        <v>0.5</v>
      </c>
      <c r="BU75" s="212">
        <f t="shared" si="19"/>
        <v>155</v>
      </c>
      <c r="BV75" s="195">
        <f t="shared" si="20"/>
        <v>0</v>
      </c>
      <c r="BW75" s="195">
        <f t="shared" si="21"/>
        <v>0</v>
      </c>
      <c r="BX75" s="195">
        <f t="shared" si="22"/>
        <v>155</v>
      </c>
      <c r="BY75" s="195">
        <f t="shared" si="23"/>
        <v>0</v>
      </c>
      <c r="BZ75" s="195">
        <f t="shared" si="24"/>
        <v>0</v>
      </c>
      <c r="CA75" s="195">
        <f t="shared" si="25"/>
        <v>55</v>
      </c>
      <c r="CB75" s="212">
        <f t="shared" si="26"/>
        <v>100</v>
      </c>
      <c r="CC75" s="195">
        <f t="shared" si="27"/>
        <v>0</v>
      </c>
      <c r="CD75" s="214">
        <f t="shared" si="28"/>
        <v>0</v>
      </c>
      <c r="CE75" s="206"/>
      <c r="CF75" s="215">
        <f t="shared" si="29"/>
        <v>0</v>
      </c>
      <c r="CG75" s="215">
        <f t="shared" si="30"/>
        <v>0</v>
      </c>
      <c r="CH75" s="215">
        <f t="shared" si="31"/>
        <v>0</v>
      </c>
      <c r="CI75" s="215">
        <f t="shared" si="32"/>
        <v>0</v>
      </c>
      <c r="CJ75" s="215">
        <f t="shared" si="33"/>
        <v>0</v>
      </c>
      <c r="CK75" s="215">
        <f t="shared" si="34"/>
        <v>0</v>
      </c>
      <c r="CL75" s="215">
        <f t="shared" si="35"/>
        <v>0</v>
      </c>
      <c r="CM75" s="215">
        <f t="shared" si="36"/>
        <v>0</v>
      </c>
      <c r="CN75" s="215">
        <f t="shared" si="37"/>
        <v>0</v>
      </c>
      <c r="CO75" s="215">
        <f t="shared" si="38"/>
        <v>0</v>
      </c>
      <c r="CP75" s="215">
        <f t="shared" si="39"/>
        <v>0</v>
      </c>
      <c r="CQ75" s="215">
        <f t="shared" si="40"/>
        <v>0</v>
      </c>
      <c r="CR75" s="300"/>
    </row>
    <row r="76" spans="1:96" s="217" customFormat="1" ht="26.25" customHeight="1" x14ac:dyDescent="0.25">
      <c r="A76" s="208" t="s">
        <v>672</v>
      </c>
      <c r="B76" s="208"/>
      <c r="D76" s="208">
        <v>15</v>
      </c>
      <c r="AA76" s="210" t="s">
        <v>147</v>
      </c>
      <c r="AB76" s="211" t="s">
        <v>892</v>
      </c>
      <c r="AC76" s="122" t="s">
        <v>674</v>
      </c>
      <c r="AD76" s="123" t="s">
        <v>44</v>
      </c>
      <c r="AE76" s="122" t="s">
        <v>893</v>
      </c>
      <c r="AF76" s="124" t="s">
        <v>676</v>
      </c>
      <c r="AG76" s="24" t="s">
        <v>894</v>
      </c>
      <c r="AH76" s="24" t="s">
        <v>895</v>
      </c>
      <c r="AI76" s="125" t="s">
        <v>68</v>
      </c>
      <c r="AJ76" s="126">
        <v>1.25</v>
      </c>
      <c r="AK76" s="122" t="s">
        <v>76</v>
      </c>
      <c r="AL76" s="122" t="s">
        <v>46</v>
      </c>
      <c r="AM76" s="122" t="s">
        <v>46</v>
      </c>
      <c r="AN76" s="212">
        <f t="shared" si="1"/>
        <v>150</v>
      </c>
      <c r="AO76" s="114">
        <v>0</v>
      </c>
      <c r="AP76" s="114">
        <v>0</v>
      </c>
      <c r="AQ76" s="114">
        <v>150</v>
      </c>
      <c r="AR76" s="114">
        <v>0</v>
      </c>
      <c r="AS76" s="114">
        <v>0</v>
      </c>
      <c r="AT76" s="114">
        <v>45</v>
      </c>
      <c r="AU76" s="212">
        <f t="shared" si="2"/>
        <v>105</v>
      </c>
      <c r="AV76" s="114">
        <v>0</v>
      </c>
      <c r="AW76" s="127">
        <v>815</v>
      </c>
      <c r="AX76" s="122" t="s">
        <v>679</v>
      </c>
      <c r="AY76" s="128" t="s">
        <v>896</v>
      </c>
      <c r="AZ76" s="128" t="s">
        <v>126</v>
      </c>
      <c r="BA76" s="128" t="s">
        <v>737</v>
      </c>
      <c r="BB76" s="114">
        <v>1</v>
      </c>
      <c r="BC76" s="204"/>
      <c r="BD76" s="204"/>
      <c r="BE76" s="213">
        <f t="shared" si="3"/>
        <v>0</v>
      </c>
      <c r="BF76" s="213">
        <f t="shared" si="4"/>
        <v>0</v>
      </c>
      <c r="BG76" s="213">
        <f t="shared" si="5"/>
        <v>0</v>
      </c>
      <c r="BH76" s="213">
        <f t="shared" si="6"/>
        <v>0</v>
      </c>
      <c r="BI76" s="213">
        <f t="shared" si="7"/>
        <v>0</v>
      </c>
      <c r="BJ76" s="213">
        <f t="shared" si="8"/>
        <v>0</v>
      </c>
      <c r="BK76" s="213">
        <f t="shared" si="9"/>
        <v>0</v>
      </c>
      <c r="BL76" s="213">
        <f t="shared" si="10"/>
        <v>0</v>
      </c>
      <c r="BM76" s="213">
        <f t="shared" si="11"/>
        <v>0</v>
      </c>
      <c r="BN76" s="213">
        <f t="shared" si="12"/>
        <v>0</v>
      </c>
      <c r="BO76" s="213">
        <f t="shared" si="13"/>
        <v>0</v>
      </c>
      <c r="BP76" s="213">
        <f t="shared" si="14"/>
        <v>0</v>
      </c>
      <c r="BQ76" s="205" t="str">
        <f t="shared" si="15"/>
        <v>10,00 2023.12.25</v>
      </c>
      <c r="BR76" s="205" t="str">
        <f t="shared" si="16"/>
        <v>11,15 2023.12.25</v>
      </c>
      <c r="BS76" s="206" t="str">
        <f t="shared" si="17"/>
        <v>В</v>
      </c>
      <c r="BT76" s="207">
        <f t="shared" si="18"/>
        <v>1.25</v>
      </c>
      <c r="BU76" s="212">
        <f t="shared" si="19"/>
        <v>150</v>
      </c>
      <c r="BV76" s="195">
        <f t="shared" si="20"/>
        <v>0</v>
      </c>
      <c r="BW76" s="195">
        <f t="shared" si="21"/>
        <v>0</v>
      </c>
      <c r="BX76" s="195">
        <f t="shared" si="22"/>
        <v>150</v>
      </c>
      <c r="BY76" s="195">
        <f t="shared" si="23"/>
        <v>0</v>
      </c>
      <c r="BZ76" s="195">
        <f t="shared" si="24"/>
        <v>0</v>
      </c>
      <c r="CA76" s="195">
        <f t="shared" si="25"/>
        <v>45</v>
      </c>
      <c r="CB76" s="212">
        <f t="shared" si="26"/>
        <v>105</v>
      </c>
      <c r="CC76" s="195">
        <f t="shared" si="27"/>
        <v>0</v>
      </c>
      <c r="CD76" s="214">
        <f t="shared" si="28"/>
        <v>1</v>
      </c>
      <c r="CE76" s="206"/>
      <c r="CF76" s="215">
        <f t="shared" si="29"/>
        <v>0</v>
      </c>
      <c r="CG76" s="215">
        <f t="shared" si="30"/>
        <v>0</v>
      </c>
      <c r="CH76" s="215">
        <f t="shared" si="31"/>
        <v>0</v>
      </c>
      <c r="CI76" s="215">
        <f t="shared" si="32"/>
        <v>0</v>
      </c>
      <c r="CJ76" s="215">
        <f t="shared" si="33"/>
        <v>0</v>
      </c>
      <c r="CK76" s="215">
        <f t="shared" si="34"/>
        <v>0</v>
      </c>
      <c r="CL76" s="215">
        <f t="shared" si="35"/>
        <v>0</v>
      </c>
      <c r="CM76" s="215">
        <f t="shared" si="36"/>
        <v>0</v>
      </c>
      <c r="CN76" s="215">
        <f t="shared" si="37"/>
        <v>0</v>
      </c>
      <c r="CO76" s="215">
        <f t="shared" si="38"/>
        <v>0</v>
      </c>
      <c r="CP76" s="215">
        <f t="shared" si="39"/>
        <v>0</v>
      </c>
      <c r="CQ76" s="215">
        <f t="shared" si="40"/>
        <v>0</v>
      </c>
      <c r="CR76" s="300"/>
    </row>
    <row r="77" spans="1:96" ht="15.75" customHeight="1" x14ac:dyDescent="0.25">
      <c r="D77" s="18">
        <v>15</v>
      </c>
      <c r="AB77" s="132"/>
      <c r="AC77" s="133" t="s">
        <v>897</v>
      </c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5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6"/>
      <c r="BQ77" s="137"/>
      <c r="BR77" s="134"/>
      <c r="BS77" s="134"/>
      <c r="BT77" s="134"/>
      <c r="BU77" s="135"/>
      <c r="BV77" s="134"/>
      <c r="BW77" s="134"/>
      <c r="BX77" s="134"/>
      <c r="BY77" s="134"/>
      <c r="BZ77" s="134"/>
      <c r="CA77" s="134"/>
      <c r="CB77" s="134"/>
      <c r="CC77" s="134"/>
      <c r="CD77" s="134"/>
      <c r="CE77" s="136"/>
      <c r="CR77" s="252"/>
    </row>
    <row r="78" spans="1:96" ht="34.700000000000003" customHeight="1" x14ac:dyDescent="0.25">
      <c r="D78" s="18">
        <v>33</v>
      </c>
      <c r="AB78" s="70">
        <v>2</v>
      </c>
      <c r="AC78" s="301" t="s">
        <v>898</v>
      </c>
      <c r="AD78" s="269"/>
      <c r="AE78" s="269"/>
      <c r="AF78" s="269"/>
      <c r="AG78" s="269"/>
      <c r="AH78" s="302"/>
      <c r="AI78" s="70" t="s">
        <v>899</v>
      </c>
      <c r="AJ78" s="94">
        <f>SUM(AJ79:AJ81)</f>
        <v>52.070000000000007</v>
      </c>
      <c r="AK78" s="106"/>
      <c r="AL78" s="106"/>
      <c r="AM78" s="106"/>
      <c r="AN78" s="74">
        <f t="shared" ref="AN78:AW78" si="41">SUM(AN79:AN81)</f>
        <v>12658</v>
      </c>
      <c r="AO78" s="74">
        <f t="shared" si="41"/>
        <v>0</v>
      </c>
      <c r="AP78" s="74">
        <f t="shared" si="41"/>
        <v>0</v>
      </c>
      <c r="AQ78" s="74">
        <f t="shared" si="41"/>
        <v>11820</v>
      </c>
      <c r="AR78" s="74">
        <f t="shared" si="41"/>
        <v>0</v>
      </c>
      <c r="AS78" s="74">
        <f t="shared" si="41"/>
        <v>0</v>
      </c>
      <c r="AT78" s="74">
        <f t="shared" si="41"/>
        <v>1732</v>
      </c>
      <c r="AU78" s="74">
        <f t="shared" si="41"/>
        <v>10088</v>
      </c>
      <c r="AV78" s="74">
        <f t="shared" si="41"/>
        <v>838</v>
      </c>
      <c r="AW78" s="94">
        <f t="shared" si="41"/>
        <v>46310</v>
      </c>
      <c r="AX78" s="106"/>
      <c r="AY78" s="106"/>
      <c r="AZ78" s="106"/>
      <c r="BA78" s="106"/>
      <c r="BB78" s="106"/>
      <c r="BC78" s="106"/>
      <c r="BD78" s="106"/>
      <c r="BQ78" s="70"/>
      <c r="BR78" s="70"/>
      <c r="BS78" s="70"/>
      <c r="BT78" s="94">
        <f t="shared" ref="BT78:CC78" si="42">SUM(BT79:BT81)</f>
        <v>0</v>
      </c>
      <c r="BU78" s="74">
        <f t="shared" si="42"/>
        <v>0</v>
      </c>
      <c r="BV78" s="74">
        <f t="shared" si="42"/>
        <v>0</v>
      </c>
      <c r="BW78" s="74">
        <f t="shared" si="42"/>
        <v>0</v>
      </c>
      <c r="BX78" s="74">
        <f t="shared" si="42"/>
        <v>0</v>
      </c>
      <c r="BY78" s="74">
        <f t="shared" si="42"/>
        <v>0</v>
      </c>
      <c r="BZ78" s="74">
        <f t="shared" si="42"/>
        <v>0</v>
      </c>
      <c r="CA78" s="74">
        <f t="shared" si="42"/>
        <v>0</v>
      </c>
      <c r="CB78" s="74">
        <f t="shared" si="42"/>
        <v>0</v>
      </c>
      <c r="CC78" s="74">
        <f t="shared" si="42"/>
        <v>0</v>
      </c>
      <c r="CD78" s="106"/>
      <c r="CE78" s="70"/>
    </row>
    <row r="79" spans="1:96" ht="35.450000000000003" customHeight="1" x14ac:dyDescent="0.25">
      <c r="D79" s="18">
        <v>33.75</v>
      </c>
      <c r="AB79" s="55" t="s">
        <v>525</v>
      </c>
      <c r="AC79" s="301" t="s">
        <v>900</v>
      </c>
      <c r="AD79" s="269"/>
      <c r="AE79" s="269"/>
      <c r="AF79" s="269"/>
      <c r="AG79" s="269"/>
      <c r="AH79" s="302"/>
      <c r="AI79" s="70" t="s">
        <v>45</v>
      </c>
      <c r="AJ79" s="94">
        <f>SUMIF($AI$29:$AI$77,$AI79,AJ$29:AJ$77)</f>
        <v>0</v>
      </c>
      <c r="AK79" s="106"/>
      <c r="AL79" s="106"/>
      <c r="AM79" s="106"/>
      <c r="AN79" s="74">
        <f t="shared" ref="AN79:AW81" si="43">SUMIF($AI$29:$AI$77,$AI79,AN$29:AN$77)</f>
        <v>0</v>
      </c>
      <c r="AO79" s="74">
        <f t="shared" si="43"/>
        <v>0</v>
      </c>
      <c r="AP79" s="74">
        <f t="shared" si="43"/>
        <v>0</v>
      </c>
      <c r="AQ79" s="74">
        <f t="shared" si="43"/>
        <v>0</v>
      </c>
      <c r="AR79" s="74">
        <f t="shared" si="43"/>
        <v>0</v>
      </c>
      <c r="AS79" s="74">
        <f t="shared" si="43"/>
        <v>0</v>
      </c>
      <c r="AT79" s="74">
        <f t="shared" si="43"/>
        <v>0</v>
      </c>
      <c r="AU79" s="74">
        <f t="shared" si="43"/>
        <v>0</v>
      </c>
      <c r="AV79" s="74">
        <f t="shared" si="43"/>
        <v>0</v>
      </c>
      <c r="AW79" s="94">
        <f t="shared" si="43"/>
        <v>0</v>
      </c>
      <c r="AX79" s="106"/>
      <c r="AY79" s="106"/>
      <c r="AZ79" s="106"/>
      <c r="BA79" s="106"/>
      <c r="BB79" s="106"/>
      <c r="BC79" s="106"/>
      <c r="BD79" s="106"/>
      <c r="BQ79" s="70"/>
      <c r="BR79" s="70"/>
      <c r="BS79" s="70"/>
      <c r="BT79" s="94">
        <f t="shared" ref="BT79:CC81" si="44">SUMIF($BS$29:$BS$77,$BS79,BT$29:BT$77)</f>
        <v>0</v>
      </c>
      <c r="BU79" s="74">
        <f t="shared" si="44"/>
        <v>0</v>
      </c>
      <c r="BV79" s="74">
        <f t="shared" si="44"/>
        <v>0</v>
      </c>
      <c r="BW79" s="74">
        <f t="shared" si="44"/>
        <v>0</v>
      </c>
      <c r="BX79" s="74">
        <f t="shared" si="44"/>
        <v>0</v>
      </c>
      <c r="BY79" s="74">
        <f t="shared" si="44"/>
        <v>0</v>
      </c>
      <c r="BZ79" s="74">
        <f t="shared" si="44"/>
        <v>0</v>
      </c>
      <c r="CA79" s="74">
        <f t="shared" si="44"/>
        <v>0</v>
      </c>
      <c r="CB79" s="74">
        <f t="shared" si="44"/>
        <v>0</v>
      </c>
      <c r="CC79" s="74">
        <f t="shared" si="44"/>
        <v>0</v>
      </c>
      <c r="CD79" s="106"/>
      <c r="CE79" s="70"/>
    </row>
    <row r="80" spans="1:96" ht="15.75" customHeight="1" x14ac:dyDescent="0.25">
      <c r="D80" s="18">
        <v>15</v>
      </c>
      <c r="AB80" s="55" t="s">
        <v>527</v>
      </c>
      <c r="AC80" s="301" t="s">
        <v>901</v>
      </c>
      <c r="AD80" s="269"/>
      <c r="AE80" s="269"/>
      <c r="AF80" s="269"/>
      <c r="AG80" s="269"/>
      <c r="AH80" s="302"/>
      <c r="AI80" s="70" t="s">
        <v>57</v>
      </c>
      <c r="AJ80" s="94">
        <f>SUMIF($AI$29:$AI$77,$AI80,AJ$29:AJ$77)</f>
        <v>0</v>
      </c>
      <c r="AK80" s="106"/>
      <c r="AL80" s="106"/>
      <c r="AM80" s="106"/>
      <c r="AN80" s="74">
        <f t="shared" si="43"/>
        <v>0</v>
      </c>
      <c r="AO80" s="74">
        <f t="shared" si="43"/>
        <v>0</v>
      </c>
      <c r="AP80" s="74">
        <f t="shared" si="43"/>
        <v>0</v>
      </c>
      <c r="AQ80" s="74">
        <f t="shared" si="43"/>
        <v>0</v>
      </c>
      <c r="AR80" s="74">
        <f t="shared" si="43"/>
        <v>0</v>
      </c>
      <c r="AS80" s="74">
        <f t="shared" si="43"/>
        <v>0</v>
      </c>
      <c r="AT80" s="74">
        <f t="shared" si="43"/>
        <v>0</v>
      </c>
      <c r="AU80" s="74">
        <f t="shared" si="43"/>
        <v>0</v>
      </c>
      <c r="AV80" s="74">
        <f t="shared" si="43"/>
        <v>0</v>
      </c>
      <c r="AW80" s="94">
        <f t="shared" si="43"/>
        <v>0</v>
      </c>
      <c r="AX80" s="106"/>
      <c r="AY80" s="106"/>
      <c r="AZ80" s="106"/>
      <c r="BA80" s="106"/>
      <c r="BB80" s="106"/>
      <c r="BC80" s="106"/>
      <c r="BD80" s="106"/>
      <c r="BQ80" s="70"/>
      <c r="BR80" s="70"/>
      <c r="BS80" s="70"/>
      <c r="BT80" s="94">
        <f t="shared" si="44"/>
        <v>0</v>
      </c>
      <c r="BU80" s="74">
        <f t="shared" si="44"/>
        <v>0</v>
      </c>
      <c r="BV80" s="74">
        <f t="shared" si="44"/>
        <v>0</v>
      </c>
      <c r="BW80" s="74">
        <f t="shared" si="44"/>
        <v>0</v>
      </c>
      <c r="BX80" s="74">
        <f t="shared" si="44"/>
        <v>0</v>
      </c>
      <c r="BY80" s="74">
        <f t="shared" si="44"/>
        <v>0</v>
      </c>
      <c r="BZ80" s="74">
        <f t="shared" si="44"/>
        <v>0</v>
      </c>
      <c r="CA80" s="74">
        <f t="shared" si="44"/>
        <v>0</v>
      </c>
      <c r="CB80" s="74">
        <f t="shared" si="44"/>
        <v>0</v>
      </c>
      <c r="CC80" s="74">
        <f t="shared" si="44"/>
        <v>0</v>
      </c>
      <c r="CD80" s="106"/>
      <c r="CE80" s="70"/>
    </row>
    <row r="81" spans="4:97" ht="23.65" customHeight="1" x14ac:dyDescent="0.25">
      <c r="D81" s="18">
        <v>22.5</v>
      </c>
      <c r="AB81" s="55" t="s">
        <v>529</v>
      </c>
      <c r="AC81" s="301" t="s">
        <v>902</v>
      </c>
      <c r="AD81" s="269"/>
      <c r="AE81" s="269"/>
      <c r="AF81" s="269"/>
      <c r="AG81" s="269"/>
      <c r="AH81" s="302"/>
      <c r="AI81" s="70" t="s">
        <v>68</v>
      </c>
      <c r="AJ81" s="94">
        <f>SUMIF($AI$29:$AI$77,$AI81,AJ$29:AJ$77)</f>
        <v>52.070000000000007</v>
      </c>
      <c r="AK81" s="106"/>
      <c r="AL81" s="106"/>
      <c r="AM81" s="106"/>
      <c r="AN81" s="74">
        <f t="shared" si="43"/>
        <v>12658</v>
      </c>
      <c r="AO81" s="74">
        <f t="shared" si="43"/>
        <v>0</v>
      </c>
      <c r="AP81" s="74">
        <f t="shared" si="43"/>
        <v>0</v>
      </c>
      <c r="AQ81" s="74">
        <f t="shared" si="43"/>
        <v>11820</v>
      </c>
      <c r="AR81" s="74">
        <f t="shared" si="43"/>
        <v>0</v>
      </c>
      <c r="AS81" s="74">
        <f t="shared" si="43"/>
        <v>0</v>
      </c>
      <c r="AT81" s="74">
        <f t="shared" si="43"/>
        <v>1732</v>
      </c>
      <c r="AU81" s="74">
        <f t="shared" si="43"/>
        <v>10088</v>
      </c>
      <c r="AV81" s="74">
        <f t="shared" si="43"/>
        <v>838</v>
      </c>
      <c r="AW81" s="94">
        <f t="shared" si="43"/>
        <v>46310</v>
      </c>
      <c r="AX81" s="106"/>
      <c r="AY81" s="106"/>
      <c r="AZ81" s="106"/>
      <c r="BA81" s="106"/>
      <c r="BB81" s="106"/>
      <c r="BC81" s="106"/>
      <c r="BD81" s="106"/>
      <c r="BQ81" s="70"/>
      <c r="BR81" s="70"/>
      <c r="BS81" s="70"/>
      <c r="BT81" s="94">
        <f t="shared" si="44"/>
        <v>0</v>
      </c>
      <c r="BU81" s="74">
        <f t="shared" si="44"/>
        <v>0</v>
      </c>
      <c r="BV81" s="74">
        <f t="shared" si="44"/>
        <v>0</v>
      </c>
      <c r="BW81" s="74">
        <f t="shared" si="44"/>
        <v>0</v>
      </c>
      <c r="BX81" s="74">
        <f t="shared" si="44"/>
        <v>0</v>
      </c>
      <c r="BY81" s="74">
        <f t="shared" si="44"/>
        <v>0</v>
      </c>
      <c r="BZ81" s="74">
        <f t="shared" si="44"/>
        <v>0</v>
      </c>
      <c r="CA81" s="74">
        <f t="shared" si="44"/>
        <v>0</v>
      </c>
      <c r="CB81" s="74">
        <f t="shared" si="44"/>
        <v>0</v>
      </c>
      <c r="CC81" s="74">
        <f t="shared" si="44"/>
        <v>0</v>
      </c>
      <c r="CD81" s="106"/>
      <c r="CE81" s="70"/>
    </row>
    <row r="82" spans="4:97" ht="47.25" customHeight="1" x14ac:dyDescent="0.25">
      <c r="D82" s="18">
        <v>45</v>
      </c>
      <c r="AB82" s="55" t="s">
        <v>576</v>
      </c>
      <c r="AC82" s="301" t="s">
        <v>903</v>
      </c>
      <c r="AD82" s="269"/>
      <c r="AE82" s="269"/>
      <c r="AF82" s="269"/>
      <c r="AG82" s="269"/>
      <c r="AH82" s="302"/>
      <c r="AI82" s="70" t="s">
        <v>904</v>
      </c>
      <c r="AJ82" s="94">
        <f>SUMIFS(AJ$29:AJ$77,AI$29:AI$77,$AI81,BB$29:BB$77,"1")</f>
        <v>40.270000000000003</v>
      </c>
      <c r="AK82" s="106"/>
      <c r="AL82" s="106"/>
      <c r="AM82" s="106"/>
      <c r="AN82" s="74">
        <f>SUMIFS(AN$29:AN$77,AI$29:AI$77,$AI81,BB$29:BB$77,"1")</f>
        <v>9816</v>
      </c>
      <c r="AO82" s="74">
        <f>SUMIFS(AO$29:AO$77,AI$29:AI$77,$AI81,BB$29:BB$77,"1")</f>
        <v>0</v>
      </c>
      <c r="AP82" s="74">
        <f>SUMIFS(AP$29:AP$77,AI$29:AI$77,$AI81,BB$29:BB$77,"1")</f>
        <v>0</v>
      </c>
      <c r="AQ82" s="74">
        <f>SUMIFS(AQ$29:AQ$77,AI$29:AI$77,$AI81,BB$29:BB$77,"1")</f>
        <v>8979</v>
      </c>
      <c r="AR82" s="74">
        <f>SUMIFS(AR$29:AR$77,AI$29:AI$77,$AI81,BB$29:BB$77,"1")</f>
        <v>0</v>
      </c>
      <c r="AS82" s="74">
        <f>SUMIFS(AS$29:AS$77,AI$29:AI$77,$AI81,BB$29:BB$77,"1")</f>
        <v>0</v>
      </c>
      <c r="AT82" s="74">
        <f>SUMIFS(AT$29:AT$77,AI$29:AI$77,$AI81,BB$29:BB$77,"1")</f>
        <v>1235</v>
      </c>
      <c r="AU82" s="74">
        <f>SUMIFS(AU$29:AU$77,AI$29:AI$77,$AI81,BB$29:BB$77,"1")</f>
        <v>7744</v>
      </c>
      <c r="AV82" s="74">
        <f>SUMIFS(AV$29:AV$77,AI$29:AI$77,$AI81,BB$29:BB$77,"1")</f>
        <v>837</v>
      </c>
      <c r="AW82" s="94">
        <f>SUMIFS(AW$29:AW$77,AI$29:AI$77,$AI81,BB$29:BB$77,"1")</f>
        <v>33270</v>
      </c>
      <c r="AX82" s="106"/>
      <c r="AY82" s="106"/>
      <c r="AZ82" s="106"/>
      <c r="BA82" s="106"/>
      <c r="BB82" s="106"/>
      <c r="BC82" s="106"/>
      <c r="BD82" s="106"/>
      <c r="BQ82" s="70"/>
      <c r="BR82" s="70"/>
      <c r="BS82" s="70"/>
      <c r="BT82" s="94">
        <f>SUMIF($BS$29:$BS$77,$BS82,BT$29:BT$77)</f>
        <v>0</v>
      </c>
      <c r="BU82" s="74">
        <f>SUMIFS(BU$29:BU$77,BP$29:BP$77,$BS81,CD$29:CD$77,"1")</f>
        <v>9816</v>
      </c>
      <c r="BV82" s="74">
        <f>SUMIFS(BV$29:BV$77,BP$29:BP$77,$BS81,CD$29:CD$77,"1")</f>
        <v>0</v>
      </c>
      <c r="BW82" s="74">
        <f>SUMIFS(BW$29:BW$77,BP$29:BP$77,$BS81,CD$29:CD$77,"1")</f>
        <v>0</v>
      </c>
      <c r="BX82" s="74">
        <f>SUMIFS(BX$29:BX$77,BP$29:BP$77,$BS81,CD$29:CD$77,"1")</f>
        <v>8979</v>
      </c>
      <c r="BY82" s="74">
        <f>SUMIFS(BY$29:BY$77,BP$29:BP$77,$BS81,CD$29:CD$77,"1")</f>
        <v>0</v>
      </c>
      <c r="BZ82" s="74">
        <f>SUMIFS(BZ$29:BZ$77,BP$29:BP$77,$BS81,CD$29:CD$77,"1")</f>
        <v>0</v>
      </c>
      <c r="CA82" s="74">
        <f>SUMIFS(CA$29:CA$77,BP$29:BP$77,$BS81,CD$29:CD$77,"1")</f>
        <v>1235</v>
      </c>
      <c r="CB82" s="74">
        <f>SUMIFS(CB$29:CB$77,BP$29:BP$77,$BS81,CD$29:CD$77,"1")</f>
        <v>7744</v>
      </c>
      <c r="CC82" s="74">
        <f>SUMIFS(CC$29:CC$77,BP$29:BP$77,$BS81,CD$29:CD$77,"1")</f>
        <v>837</v>
      </c>
      <c r="CD82" s="106"/>
      <c r="CE82" s="70"/>
    </row>
    <row r="83" spans="4:97" ht="11.85" customHeight="1" x14ac:dyDescent="0.25">
      <c r="D83" s="18">
        <v>11.25</v>
      </c>
      <c r="AB83" s="297"/>
      <c r="AC83" s="297"/>
      <c r="AD83" s="108"/>
      <c r="AE83" s="297"/>
      <c r="AF83" s="297"/>
      <c r="AG83" s="108"/>
      <c r="AH83" s="108"/>
      <c r="AI83" s="108"/>
      <c r="BQ83" s="108"/>
      <c r="BR83" s="108"/>
      <c r="BS83" s="108"/>
    </row>
    <row r="84" spans="4:97" ht="47.25" customHeight="1" x14ac:dyDescent="0.25">
      <c r="D84" s="18">
        <v>45</v>
      </c>
      <c r="AB84" s="84"/>
      <c r="AC84" s="228" t="str">
        <f>IF(LEN(ruk_dol)=0,"",ruk_dol)</f>
        <v>Генеральный директор</v>
      </c>
      <c r="AD84" s="303" t="str">
        <f>IF(LEN(ruk_FIO)=0,"",ruk_FIO)</f>
        <v>Мурадов Сергей Юрьевич</v>
      </c>
      <c r="AE84" s="303"/>
      <c r="AF84" s="229"/>
    </row>
    <row r="85" spans="4:97" ht="15.75" customHeight="1" x14ac:dyDescent="0.25">
      <c r="D85" s="18">
        <v>15</v>
      </c>
      <c r="AC85" s="230" t="s">
        <v>445</v>
      </c>
      <c r="AD85" s="304" t="s">
        <v>545</v>
      </c>
      <c r="AE85" s="305"/>
      <c r="AF85" s="230" t="s">
        <v>546</v>
      </c>
    </row>
    <row r="86" spans="4:97" ht="11.85" customHeight="1" x14ac:dyDescent="0.25">
      <c r="D86" s="18">
        <v>11.25</v>
      </c>
    </row>
    <row r="87" spans="4:97" ht="11.25" hidden="1" customHeight="1" x14ac:dyDescent="0.25">
      <c r="D87" s="18">
        <v>0</v>
      </c>
    </row>
    <row r="88" spans="4:97" ht="15" hidden="1" customHeight="1" x14ac:dyDescent="0.25">
      <c r="D88" s="18">
        <v>0</v>
      </c>
    </row>
    <row r="89" spans="4:97" ht="11.25" hidden="1" customHeight="1" x14ac:dyDescent="0.25">
      <c r="D89" s="18">
        <v>0</v>
      </c>
      <c r="AB89" s="252"/>
      <c r="AC89" s="252"/>
      <c r="AD89" s="252"/>
      <c r="AE89" s="252"/>
      <c r="AF89" s="252"/>
    </row>
    <row r="90" spans="4:97" ht="11.25" hidden="1" customHeight="1" x14ac:dyDescent="0.25">
      <c r="D90" s="19">
        <v>0</v>
      </c>
      <c r="CS90" s="19" t="s">
        <v>457</v>
      </c>
    </row>
  </sheetData>
  <sheetProtection formatColumns="0" formatRows="0" insertRows="0" deleteColumns="0" deleteRows="0" sort="0" autoFilter="0"/>
  <autoFilter ref="AB28:CE77" xr:uid="{00000000-0009-0000-0000-00000E000000}"/>
  <mergeCells count="55">
    <mergeCell ref="BC24:BC27"/>
    <mergeCell ref="CD25:CD27"/>
    <mergeCell ref="BQ24:CD24"/>
    <mergeCell ref="BQ25:BQ27"/>
    <mergeCell ref="BR25:BR27"/>
    <mergeCell ref="BS25:BS27"/>
    <mergeCell ref="BT25:BT27"/>
    <mergeCell ref="BU25:CC25"/>
    <mergeCell ref="BU26:BU27"/>
    <mergeCell ref="BV26:BX26"/>
    <mergeCell ref="BY26:CB26"/>
    <mergeCell ref="CC26:CC27"/>
    <mergeCell ref="BD24:BD27"/>
    <mergeCell ref="AB83:AC83"/>
    <mergeCell ref="AE83:AF83"/>
    <mergeCell ref="AD84:AE84"/>
    <mergeCell ref="AD85:AE85"/>
    <mergeCell ref="AB89:AF89"/>
    <mergeCell ref="AC78:AH78"/>
    <mergeCell ref="AC79:AH79"/>
    <mergeCell ref="AC80:AH80"/>
    <mergeCell ref="AC81:AH81"/>
    <mergeCell ref="AC82:AH82"/>
    <mergeCell ref="AB8:AC8"/>
    <mergeCell ref="AJ8:AM8"/>
    <mergeCell ref="AB22:BB22"/>
    <mergeCell ref="AB24:AJ24"/>
    <mergeCell ref="AK24:AW24"/>
    <mergeCell ref="AX24:AX27"/>
    <mergeCell ref="AY24:BA24"/>
    <mergeCell ref="BB24:BB27"/>
    <mergeCell ref="AB25:AB27"/>
    <mergeCell ref="AW25:AW27"/>
    <mergeCell ref="AJ25:AJ27"/>
    <mergeCell ref="AK25:AK27"/>
    <mergeCell ref="AL25:AL27"/>
    <mergeCell ref="AM25:AM27"/>
    <mergeCell ref="AZ25:AZ27"/>
    <mergeCell ref="BA25:BA27"/>
    <mergeCell ref="AB21:AD21"/>
    <mergeCell ref="CR29:CR77"/>
    <mergeCell ref="AC25:AC27"/>
    <mergeCell ref="AD25:AD27"/>
    <mergeCell ref="AE25:AE27"/>
    <mergeCell ref="AF25:AF27"/>
    <mergeCell ref="AG25:AG27"/>
    <mergeCell ref="AH25:AH27"/>
    <mergeCell ref="AI25:AI27"/>
    <mergeCell ref="AN26:AN27"/>
    <mergeCell ref="AO26:AQ26"/>
    <mergeCell ref="AR26:AU26"/>
    <mergeCell ref="AV26:AV27"/>
    <mergeCell ref="AN25:AV25"/>
    <mergeCell ref="AY25:AY27"/>
    <mergeCell ref="CE25:CE27"/>
  </mergeCells>
  <dataValidations count="5">
    <dataValidation type="whole" allowBlank="1" showInputMessage="1" showErrorMessage="1" errorTitle="Ошибка" error="Допускается ввод только чисел 0 и 1!" prompt="Введите число: 0 или 1." sqref="BB29:BB76 CD29:CD76" xr:uid="{00000000-0002-0000-0E00-000000000000}">
      <formula1>0</formula1>
      <formula2>1</formula2>
    </dataValidation>
    <dataValidation type="list" allowBlank="1" showInputMessage="1" showErrorMessage="1" errorTitle="Ошибка" error="Выберите значение из списка" sqref="BD29:BD76" xr:uid="{00000000-0002-0000-0E00-000001000000}">
      <formula1>doc_list</formula1>
    </dataValidation>
    <dataValidation type="list" allowBlank="1" showInputMessage="1" showErrorMessage="1" errorTitle="Ошибка" error="Выберите значение из списка" sqref="AZ29:AZ76" xr:uid="{00000000-0002-0000-0E00-000002000000}">
      <formula1>f_8_1_ae</formula1>
    </dataValidation>
    <dataValidation type="list" allowBlank="1" showInputMessage="1" showErrorMessage="1" errorTitle="Ошибка" error="Выберите значение из списка" prompt="Выберите значение из списка" sqref="AI29:AI76 BS29:BS76" xr:uid="{00000000-0002-0000-0E00-000003000000}">
      <formula1>VID_END_EE</formula1>
    </dataValidation>
    <dataValidation type="list" allowBlank="1" showInputMessage="1" showErrorMessage="1" errorTitle="Ошибка" error="Выберите значение из списка" prompt="Выберите значение из списка" sqref="AD29:AD76" xr:uid="{00000000-0002-0000-0E00-000004000000}">
      <formula1>VID_OBJECT</formula1>
    </dataValidation>
  </dataValidations>
  <pageMargins left="0.67" right="0.51" top="0.47" bottom="0.4" header="0.2" footer="0.2"/>
  <pageSetup paperSize="9" scale="28" orientation="landscape" r:id="rId1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F0EE-39D9-3EC2-287E-72A4D32B6F02}">
  <sheetPr>
    <tabColor theme="3" tint="0.79998168889431442"/>
    <pageSetUpPr fitToPage="1"/>
  </sheetPr>
  <dimension ref="A1:AX40"/>
  <sheetViews>
    <sheetView showGridLines="0" view="pageBreakPreview" zoomScale="60" zoomScaleNormal="100" workbookViewId="0">
      <pane xSplit="29" ySplit="26" topLeftCell="AD27" activePane="bottomRight" state="frozen"/>
      <selection pane="topRight" activeCell="AD1" sqref="AD1"/>
      <selection pane="bottomLeft" activeCell="A27" sqref="A27"/>
      <selection pane="bottomRight" activeCell="AV53" sqref="AV53"/>
    </sheetView>
  </sheetViews>
  <sheetFormatPr defaultColWidth="9.140625" defaultRowHeight="11.25" customHeight="1" x14ac:dyDescent="0.25"/>
  <cols>
    <col min="1" max="4" width="21.140625" hidden="1" customWidth="1"/>
    <col min="5" max="26" width="19.140625" hidden="1" customWidth="1"/>
    <col min="27" max="27" width="6" customWidth="1"/>
    <col min="28" max="28" width="8" customWidth="1"/>
    <col min="29" max="29" width="13.85546875" customWidth="1"/>
    <col min="30" max="30" width="10.85546875" customWidth="1"/>
    <col min="31" max="32" width="12" customWidth="1"/>
    <col min="33" max="38" width="23" customWidth="1"/>
    <col min="39" max="39" width="11.5703125" hidden="1" customWidth="1"/>
    <col min="40" max="46" width="12.7109375" hidden="1" customWidth="1"/>
    <col min="47" max="47" width="6" hidden="1" customWidth="1"/>
    <col min="48" max="48" width="84.42578125" customWidth="1"/>
    <col min="49" max="49" width="44.5703125" customWidth="1"/>
    <col min="50" max="50" width="9.140625" hidden="1"/>
  </cols>
  <sheetData>
    <row r="1" spans="4:50" ht="11.25" hidden="1" customHeight="1" x14ac:dyDescent="0.25"/>
    <row r="2" spans="4:50" ht="16.5" hidden="1" customHeight="1" x14ac:dyDescent="0.25">
      <c r="AM2" s="18" t="b">
        <f t="shared" ref="AM2:AU2" si="0">REPORT_OWNER="Версия регулятора"</f>
        <v>0</v>
      </c>
      <c r="AN2" s="18" t="b">
        <f t="shared" si="0"/>
        <v>0</v>
      </c>
      <c r="AO2" s="18" t="b">
        <f t="shared" si="0"/>
        <v>0</v>
      </c>
      <c r="AP2" s="18" t="b">
        <f t="shared" si="0"/>
        <v>0</v>
      </c>
      <c r="AQ2" s="18" t="b">
        <f t="shared" si="0"/>
        <v>0</v>
      </c>
      <c r="AR2" s="18" t="b">
        <f t="shared" si="0"/>
        <v>0</v>
      </c>
      <c r="AS2" s="18" t="b">
        <f t="shared" si="0"/>
        <v>0</v>
      </c>
      <c r="AT2" s="18" t="b">
        <f t="shared" si="0"/>
        <v>0</v>
      </c>
      <c r="AU2" s="18" t="b">
        <f t="shared" si="0"/>
        <v>0</v>
      </c>
    </row>
    <row r="3" spans="4:50" ht="11.25" hidden="1" customHeight="1" x14ac:dyDescent="0.25"/>
    <row r="4" spans="4:50" ht="11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8</v>
      </c>
      <c r="AC4" s="18">
        <v>12.43</v>
      </c>
      <c r="AD4" s="18">
        <v>10.86</v>
      </c>
      <c r="AE4" s="18">
        <v>12</v>
      </c>
      <c r="AF4" s="18">
        <v>12</v>
      </c>
      <c r="AG4" s="18">
        <v>12</v>
      </c>
      <c r="AH4" s="18">
        <v>12</v>
      </c>
      <c r="AI4" s="18">
        <v>12</v>
      </c>
      <c r="AJ4" s="18">
        <v>12</v>
      </c>
      <c r="AK4" s="18">
        <v>12</v>
      </c>
      <c r="AL4" s="18">
        <v>21.43</v>
      </c>
      <c r="AM4" s="18">
        <v>10.86</v>
      </c>
      <c r="AN4" s="18">
        <v>12</v>
      </c>
      <c r="AO4" s="18">
        <v>12</v>
      </c>
      <c r="AP4" s="18">
        <v>12</v>
      </c>
      <c r="AQ4" s="18">
        <v>12</v>
      </c>
      <c r="AR4" s="18">
        <v>12</v>
      </c>
      <c r="AS4" s="18">
        <v>12</v>
      </c>
      <c r="AT4" s="18">
        <v>12</v>
      </c>
      <c r="AU4" s="18">
        <v>21.43</v>
      </c>
      <c r="AV4" s="18">
        <v>99</v>
      </c>
      <c r="AW4" s="18">
        <v>44.57</v>
      </c>
      <c r="AX4" s="19">
        <v>0</v>
      </c>
    </row>
    <row r="5" spans="4:50" ht="11.25" hidden="1" customHeight="1" x14ac:dyDescent="0.25">
      <c r="D5" s="18">
        <v>25</v>
      </c>
    </row>
    <row r="6" spans="4:50" ht="11.25" hidden="1" customHeight="1" x14ac:dyDescent="0.25">
      <c r="D6" s="18">
        <v>25</v>
      </c>
    </row>
    <row r="7" spans="4:50" ht="11.25" hidden="1" customHeight="1" x14ac:dyDescent="0.25">
      <c r="D7" s="18">
        <v>25</v>
      </c>
    </row>
    <row r="8" spans="4:50" ht="73.5" hidden="1" customHeight="1" x14ac:dyDescent="0.25">
      <c r="D8" s="18">
        <v>25</v>
      </c>
      <c r="AB8" s="252"/>
      <c r="AC8" s="252"/>
      <c r="AD8" s="252"/>
      <c r="AE8" s="252"/>
      <c r="AF8" s="252"/>
      <c r="AG8" s="252"/>
      <c r="AM8" s="252"/>
      <c r="AN8" s="252"/>
      <c r="AO8" s="252"/>
      <c r="AP8" s="252"/>
    </row>
    <row r="9" spans="4:50" ht="11.25" hidden="1" customHeight="1" x14ac:dyDescent="0.25">
      <c r="D9" s="18">
        <v>25</v>
      </c>
    </row>
    <row r="10" spans="4:50" ht="11.25" hidden="1" customHeight="1" x14ac:dyDescent="0.25">
      <c r="D10" s="18">
        <v>25</v>
      </c>
    </row>
    <row r="11" spans="4:50" ht="11.25" hidden="1" customHeight="1" x14ac:dyDescent="0.25">
      <c r="D11" s="18">
        <v>25</v>
      </c>
    </row>
    <row r="12" spans="4:50" ht="11.25" hidden="1" customHeight="1" x14ac:dyDescent="0.25">
      <c r="D12" s="18">
        <v>25</v>
      </c>
    </row>
    <row r="13" spans="4:50" ht="11.25" hidden="1" customHeight="1" x14ac:dyDescent="0.25">
      <c r="D13" s="18">
        <v>25</v>
      </c>
    </row>
    <row r="14" spans="4:50" ht="11.25" hidden="1" customHeight="1" x14ac:dyDescent="0.25">
      <c r="D14" s="18">
        <v>25</v>
      </c>
    </row>
    <row r="15" spans="4:50" ht="11.25" hidden="1" customHeight="1" x14ac:dyDescent="0.25">
      <c r="D15" s="18">
        <v>25</v>
      </c>
    </row>
    <row r="16" spans="4:50" ht="11.25" hidden="1" customHeight="1" x14ac:dyDescent="0.25">
      <c r="D16" s="18">
        <v>25</v>
      </c>
    </row>
    <row r="17" spans="4:49" ht="11.25" hidden="1" customHeight="1" x14ac:dyDescent="0.25">
      <c r="D17" s="18">
        <v>25</v>
      </c>
    </row>
    <row r="18" spans="4:49" ht="11.25" hidden="1" customHeight="1" x14ac:dyDescent="0.25">
      <c r="D18" s="18">
        <v>25</v>
      </c>
    </row>
    <row r="19" spans="4:49" ht="11.25" hidden="1" customHeight="1" x14ac:dyDescent="0.25">
      <c r="D19" s="18">
        <v>25</v>
      </c>
    </row>
    <row r="20" spans="4:49" ht="15.75" customHeight="1" x14ac:dyDescent="0.25">
      <c r="D20" s="18">
        <v>15</v>
      </c>
    </row>
    <row r="21" spans="4:49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49" ht="25.9" customHeight="1" x14ac:dyDescent="0.25">
      <c r="D22" s="18">
        <v>24.75</v>
      </c>
      <c r="AB22" s="318" t="s">
        <v>905</v>
      </c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</row>
    <row r="23" spans="4:49" ht="5.45" customHeight="1" x14ac:dyDescent="0.25">
      <c r="D23" s="18">
        <v>5.25</v>
      </c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</row>
    <row r="24" spans="4:49" ht="31.5" customHeight="1" x14ac:dyDescent="0.25">
      <c r="D24" s="18">
        <v>30</v>
      </c>
      <c r="AB24" s="319" t="s">
        <v>906</v>
      </c>
      <c r="AC24" s="319" t="s">
        <v>907</v>
      </c>
      <c r="AD24" s="323" t="s">
        <v>908</v>
      </c>
      <c r="AE24" s="323"/>
      <c r="AF24" s="323"/>
      <c r="AG24" s="323"/>
      <c r="AH24" s="323"/>
      <c r="AI24" s="323"/>
      <c r="AJ24" s="323"/>
      <c r="AK24" s="323"/>
      <c r="AL24" s="323"/>
      <c r="AM24" s="314" t="s">
        <v>909</v>
      </c>
      <c r="AN24" s="314"/>
      <c r="AO24" s="314"/>
      <c r="AP24" s="314"/>
      <c r="AQ24" s="314"/>
      <c r="AR24" s="314"/>
      <c r="AS24" s="314"/>
      <c r="AT24" s="314"/>
      <c r="AU24" s="314"/>
      <c r="AV24" s="293" t="s">
        <v>910</v>
      </c>
      <c r="AW24" s="311" t="s">
        <v>911</v>
      </c>
    </row>
    <row r="25" spans="4:49" ht="31.5" customHeight="1" x14ac:dyDescent="0.25">
      <c r="D25" s="18">
        <v>30</v>
      </c>
      <c r="AB25" s="319"/>
      <c r="AC25" s="319"/>
      <c r="AD25" s="324" t="s">
        <v>660</v>
      </c>
      <c r="AE25" s="320" t="s">
        <v>661</v>
      </c>
      <c r="AF25" s="320"/>
      <c r="AG25" s="320"/>
      <c r="AH25" s="320" t="s">
        <v>912</v>
      </c>
      <c r="AI25" s="320"/>
      <c r="AJ25" s="320"/>
      <c r="AK25" s="320"/>
      <c r="AL25" s="321" t="s">
        <v>663</v>
      </c>
      <c r="AM25" s="315" t="s">
        <v>660</v>
      </c>
      <c r="AN25" s="317" t="s">
        <v>661</v>
      </c>
      <c r="AO25" s="317"/>
      <c r="AP25" s="317"/>
      <c r="AQ25" s="317" t="s">
        <v>912</v>
      </c>
      <c r="AR25" s="317"/>
      <c r="AS25" s="317"/>
      <c r="AT25" s="317"/>
      <c r="AU25" s="309" t="s">
        <v>663</v>
      </c>
      <c r="AV25" s="293"/>
      <c r="AW25" s="311"/>
    </row>
    <row r="26" spans="4:49" ht="27" customHeight="1" x14ac:dyDescent="0.25">
      <c r="D26" s="18">
        <v>26.25</v>
      </c>
      <c r="AB26" s="319"/>
      <c r="AC26" s="319"/>
      <c r="AD26" s="325"/>
      <c r="AE26" s="232" t="s">
        <v>664</v>
      </c>
      <c r="AF26" s="232" t="s">
        <v>665</v>
      </c>
      <c r="AG26" s="232" t="s">
        <v>666</v>
      </c>
      <c r="AH26" s="232" t="s">
        <v>667</v>
      </c>
      <c r="AI26" s="232" t="s">
        <v>913</v>
      </c>
      <c r="AJ26" s="232" t="s">
        <v>914</v>
      </c>
      <c r="AK26" s="232" t="s">
        <v>915</v>
      </c>
      <c r="AL26" s="322"/>
      <c r="AM26" s="316"/>
      <c r="AN26" s="138" t="s">
        <v>664</v>
      </c>
      <c r="AO26" s="138" t="s">
        <v>665</v>
      </c>
      <c r="AP26" s="138" t="s">
        <v>666</v>
      </c>
      <c r="AQ26" s="138" t="s">
        <v>667</v>
      </c>
      <c r="AR26" s="138" t="s">
        <v>913</v>
      </c>
      <c r="AS26" s="138" t="s">
        <v>914</v>
      </c>
      <c r="AT26" s="138" t="s">
        <v>915</v>
      </c>
      <c r="AU26" s="310"/>
      <c r="AV26" s="283"/>
      <c r="AW26" s="312"/>
    </row>
    <row r="27" spans="4:49" ht="19.7" customHeight="1" x14ac:dyDescent="0.25">
      <c r="D27" s="18">
        <v>18.75</v>
      </c>
      <c r="AB27" s="233" t="s">
        <v>58</v>
      </c>
      <c r="AC27" s="234" t="s">
        <v>916</v>
      </c>
      <c r="AD27" s="235">
        <f t="shared" ref="AD27:AD38" si="1">AE27+AF27+AG27+AL27</f>
        <v>54163</v>
      </c>
      <c r="AE27" s="236">
        <v>0</v>
      </c>
      <c r="AF27" s="236">
        <v>0</v>
      </c>
      <c r="AG27" s="236">
        <v>54163</v>
      </c>
      <c r="AH27" s="236">
        <v>0</v>
      </c>
      <c r="AI27" s="236">
        <v>0</v>
      </c>
      <c r="AJ27" s="236">
        <v>4202</v>
      </c>
      <c r="AK27" s="235">
        <f t="shared" ref="AK27:AK38" si="2">AD27-AH27-AI27-AJ27-AL27</f>
        <v>49961</v>
      </c>
      <c r="AL27" s="236">
        <v>0</v>
      </c>
      <c r="AM27" s="139">
        <f t="shared" ref="AM27:AM38" si="3">AN27+AO27+AP27+AU27</f>
        <v>54163</v>
      </c>
      <c r="AN27" s="195">
        <f t="shared" ref="AN27:AN38" si="4">AE27</f>
        <v>0</v>
      </c>
      <c r="AO27" s="195">
        <f t="shared" ref="AO27:AO38" si="5">AF27</f>
        <v>0</v>
      </c>
      <c r="AP27" s="195">
        <f t="shared" ref="AP27:AP38" si="6">AG27</f>
        <v>54163</v>
      </c>
      <c r="AQ27" s="195">
        <f t="shared" ref="AQ27:AQ38" si="7">AH27</f>
        <v>0</v>
      </c>
      <c r="AR27" s="195">
        <f t="shared" ref="AR27:AR38" si="8">AI27</f>
        <v>0</v>
      </c>
      <c r="AS27" s="195">
        <f t="shared" ref="AS27:AS38" si="9">AJ27</f>
        <v>4202</v>
      </c>
      <c r="AT27" s="139">
        <f t="shared" ref="AT27:AT38" si="10">AM27-AQ27-AR27-AS27-AU27</f>
        <v>49961</v>
      </c>
      <c r="AU27" s="195">
        <f t="shared" ref="AU27:AU38" si="11">AL27</f>
        <v>0</v>
      </c>
      <c r="AV27" s="218" t="s">
        <v>917</v>
      </c>
      <c r="AW27" s="313" t="s">
        <v>918</v>
      </c>
    </row>
    <row r="28" spans="4:49" ht="19.7" customHeight="1" x14ac:dyDescent="0.25">
      <c r="D28" s="18">
        <v>18.75</v>
      </c>
      <c r="AB28" s="233" t="s">
        <v>492</v>
      </c>
      <c r="AC28" s="237" t="s">
        <v>919</v>
      </c>
      <c r="AD28" s="235">
        <f t="shared" si="1"/>
        <v>54163</v>
      </c>
      <c r="AE28" s="236">
        <v>0</v>
      </c>
      <c r="AF28" s="236">
        <v>0</v>
      </c>
      <c r="AG28" s="236">
        <v>54163</v>
      </c>
      <c r="AH28" s="236">
        <v>0</v>
      </c>
      <c r="AI28" s="236">
        <v>0</v>
      </c>
      <c r="AJ28" s="236">
        <v>4202</v>
      </c>
      <c r="AK28" s="235">
        <f t="shared" si="2"/>
        <v>49961</v>
      </c>
      <c r="AL28" s="236">
        <v>0</v>
      </c>
      <c r="AM28" s="139">
        <f t="shared" si="3"/>
        <v>54163</v>
      </c>
      <c r="AN28" s="195">
        <f t="shared" si="4"/>
        <v>0</v>
      </c>
      <c r="AO28" s="195">
        <f t="shared" si="5"/>
        <v>0</v>
      </c>
      <c r="AP28" s="195">
        <f t="shared" si="6"/>
        <v>54163</v>
      </c>
      <c r="AQ28" s="195">
        <f t="shared" si="7"/>
        <v>0</v>
      </c>
      <c r="AR28" s="195">
        <f t="shared" si="8"/>
        <v>0</v>
      </c>
      <c r="AS28" s="195">
        <f t="shared" si="9"/>
        <v>4202</v>
      </c>
      <c r="AT28" s="139">
        <f t="shared" si="10"/>
        <v>49961</v>
      </c>
      <c r="AU28" s="195">
        <f t="shared" si="11"/>
        <v>0</v>
      </c>
      <c r="AV28" s="218" t="s">
        <v>920</v>
      </c>
      <c r="AW28" s="313"/>
    </row>
    <row r="29" spans="4:49" ht="19.7" customHeight="1" x14ac:dyDescent="0.25">
      <c r="D29" s="18">
        <v>18.75</v>
      </c>
      <c r="AB29" s="233" t="s">
        <v>88</v>
      </c>
      <c r="AC29" s="237" t="s">
        <v>921</v>
      </c>
      <c r="AD29" s="235">
        <f t="shared" si="1"/>
        <v>54163</v>
      </c>
      <c r="AE29" s="236">
        <v>0</v>
      </c>
      <c r="AF29" s="236">
        <v>0</v>
      </c>
      <c r="AG29" s="236">
        <v>54163</v>
      </c>
      <c r="AH29" s="236">
        <v>0</v>
      </c>
      <c r="AI29" s="236">
        <v>0</v>
      </c>
      <c r="AJ29" s="236">
        <v>4202</v>
      </c>
      <c r="AK29" s="235">
        <f t="shared" si="2"/>
        <v>49961</v>
      </c>
      <c r="AL29" s="236">
        <v>0</v>
      </c>
      <c r="AM29" s="139">
        <f t="shared" si="3"/>
        <v>54163</v>
      </c>
      <c r="AN29" s="195">
        <f t="shared" si="4"/>
        <v>0</v>
      </c>
      <c r="AO29" s="195">
        <f t="shared" si="5"/>
        <v>0</v>
      </c>
      <c r="AP29" s="195">
        <f t="shared" si="6"/>
        <v>54163</v>
      </c>
      <c r="AQ29" s="195">
        <f t="shared" si="7"/>
        <v>0</v>
      </c>
      <c r="AR29" s="195">
        <f t="shared" si="8"/>
        <v>0</v>
      </c>
      <c r="AS29" s="195">
        <f t="shared" si="9"/>
        <v>4202</v>
      </c>
      <c r="AT29" s="139">
        <f t="shared" si="10"/>
        <v>49961</v>
      </c>
      <c r="AU29" s="195">
        <f t="shared" si="11"/>
        <v>0</v>
      </c>
      <c r="AV29" s="218" t="s">
        <v>922</v>
      </c>
      <c r="AW29" s="313"/>
    </row>
    <row r="30" spans="4:49" ht="19.7" customHeight="1" x14ac:dyDescent="0.25">
      <c r="D30" s="18">
        <v>18.75</v>
      </c>
      <c r="AB30" s="233" t="s">
        <v>95</v>
      </c>
      <c r="AC30" s="237" t="s">
        <v>923</v>
      </c>
      <c r="AD30" s="235">
        <f t="shared" si="1"/>
        <v>54191</v>
      </c>
      <c r="AE30" s="236">
        <v>0</v>
      </c>
      <c r="AF30" s="236">
        <v>0</v>
      </c>
      <c r="AG30" s="236">
        <v>54191</v>
      </c>
      <c r="AH30" s="236">
        <v>0</v>
      </c>
      <c r="AI30" s="236">
        <v>0</v>
      </c>
      <c r="AJ30" s="236">
        <v>4215</v>
      </c>
      <c r="AK30" s="235">
        <f t="shared" si="2"/>
        <v>49976</v>
      </c>
      <c r="AL30" s="236">
        <v>0</v>
      </c>
      <c r="AM30" s="139">
        <f t="shared" si="3"/>
        <v>54191</v>
      </c>
      <c r="AN30" s="195">
        <f t="shared" si="4"/>
        <v>0</v>
      </c>
      <c r="AO30" s="195">
        <f t="shared" si="5"/>
        <v>0</v>
      </c>
      <c r="AP30" s="195">
        <f t="shared" si="6"/>
        <v>54191</v>
      </c>
      <c r="AQ30" s="195">
        <f t="shared" si="7"/>
        <v>0</v>
      </c>
      <c r="AR30" s="195">
        <f t="shared" si="8"/>
        <v>0</v>
      </c>
      <c r="AS30" s="195">
        <f t="shared" si="9"/>
        <v>4215</v>
      </c>
      <c r="AT30" s="139">
        <f t="shared" si="10"/>
        <v>49976</v>
      </c>
      <c r="AU30" s="195">
        <f t="shared" si="11"/>
        <v>0</v>
      </c>
      <c r="AV30" s="218" t="s">
        <v>924</v>
      </c>
      <c r="AW30" s="313"/>
    </row>
    <row r="31" spans="4:49" ht="19.7" customHeight="1" x14ac:dyDescent="0.25">
      <c r="D31" s="18">
        <v>18.75</v>
      </c>
      <c r="AB31" s="233" t="s">
        <v>103</v>
      </c>
      <c r="AC31" s="237" t="s">
        <v>925</v>
      </c>
      <c r="AD31" s="235">
        <f t="shared" si="1"/>
        <v>54191</v>
      </c>
      <c r="AE31" s="236">
        <v>0</v>
      </c>
      <c r="AF31" s="236">
        <v>0</v>
      </c>
      <c r="AG31" s="236">
        <v>54191</v>
      </c>
      <c r="AH31" s="236">
        <v>0</v>
      </c>
      <c r="AI31" s="236">
        <v>0</v>
      </c>
      <c r="AJ31" s="236">
        <v>4215</v>
      </c>
      <c r="AK31" s="235">
        <f t="shared" si="2"/>
        <v>49976</v>
      </c>
      <c r="AL31" s="236">
        <v>0</v>
      </c>
      <c r="AM31" s="139">
        <f t="shared" si="3"/>
        <v>54191</v>
      </c>
      <c r="AN31" s="195">
        <f t="shared" si="4"/>
        <v>0</v>
      </c>
      <c r="AO31" s="195">
        <f t="shared" si="5"/>
        <v>0</v>
      </c>
      <c r="AP31" s="195">
        <f t="shared" si="6"/>
        <v>54191</v>
      </c>
      <c r="AQ31" s="195">
        <f t="shared" si="7"/>
        <v>0</v>
      </c>
      <c r="AR31" s="195">
        <f t="shared" si="8"/>
        <v>0</v>
      </c>
      <c r="AS31" s="195">
        <f t="shared" si="9"/>
        <v>4215</v>
      </c>
      <c r="AT31" s="139">
        <f t="shared" si="10"/>
        <v>49976</v>
      </c>
      <c r="AU31" s="195">
        <f t="shared" si="11"/>
        <v>0</v>
      </c>
      <c r="AV31" s="218" t="s">
        <v>926</v>
      </c>
      <c r="AW31" s="313"/>
    </row>
    <row r="32" spans="4:49" ht="19.7" customHeight="1" x14ac:dyDescent="0.25">
      <c r="D32" s="18">
        <v>18.75</v>
      </c>
      <c r="AB32" s="233" t="s">
        <v>537</v>
      </c>
      <c r="AC32" s="237" t="s">
        <v>927</v>
      </c>
      <c r="AD32" s="235">
        <f t="shared" si="1"/>
        <v>54191</v>
      </c>
      <c r="AE32" s="236">
        <v>0</v>
      </c>
      <c r="AF32" s="236">
        <v>0</v>
      </c>
      <c r="AG32" s="236">
        <v>54191</v>
      </c>
      <c r="AH32" s="236">
        <v>0</v>
      </c>
      <c r="AI32" s="236">
        <v>0</v>
      </c>
      <c r="AJ32" s="236">
        <v>4215</v>
      </c>
      <c r="AK32" s="235">
        <f t="shared" si="2"/>
        <v>49976</v>
      </c>
      <c r="AL32" s="236">
        <v>0</v>
      </c>
      <c r="AM32" s="139">
        <f t="shared" si="3"/>
        <v>54191</v>
      </c>
      <c r="AN32" s="195">
        <f t="shared" si="4"/>
        <v>0</v>
      </c>
      <c r="AO32" s="195">
        <f t="shared" si="5"/>
        <v>0</v>
      </c>
      <c r="AP32" s="195">
        <f t="shared" si="6"/>
        <v>54191</v>
      </c>
      <c r="AQ32" s="195">
        <f t="shared" si="7"/>
        <v>0</v>
      </c>
      <c r="AR32" s="195">
        <f t="shared" si="8"/>
        <v>0</v>
      </c>
      <c r="AS32" s="195">
        <f t="shared" si="9"/>
        <v>4215</v>
      </c>
      <c r="AT32" s="139">
        <f t="shared" si="10"/>
        <v>49976</v>
      </c>
      <c r="AU32" s="195">
        <f t="shared" si="11"/>
        <v>0</v>
      </c>
      <c r="AV32" s="218" t="s">
        <v>928</v>
      </c>
      <c r="AW32" s="313"/>
    </row>
    <row r="33" spans="4:50" ht="28.5" customHeight="1" x14ac:dyDescent="0.25">
      <c r="D33" s="18">
        <v>18.75</v>
      </c>
      <c r="AB33" s="233" t="s">
        <v>543</v>
      </c>
      <c r="AC33" s="237" t="s">
        <v>929</v>
      </c>
      <c r="AD33" s="235">
        <f t="shared" si="1"/>
        <v>54206</v>
      </c>
      <c r="AE33" s="236">
        <v>0</v>
      </c>
      <c r="AF33" s="236">
        <v>0</v>
      </c>
      <c r="AG33" s="236">
        <v>54206</v>
      </c>
      <c r="AH33" s="236">
        <v>0</v>
      </c>
      <c r="AI33" s="236">
        <v>0</v>
      </c>
      <c r="AJ33" s="236">
        <v>4230</v>
      </c>
      <c r="AK33" s="235">
        <f t="shared" si="2"/>
        <v>49976</v>
      </c>
      <c r="AL33" s="236">
        <v>0</v>
      </c>
      <c r="AM33" s="139">
        <f t="shared" si="3"/>
        <v>54206</v>
      </c>
      <c r="AN33" s="195">
        <f t="shared" si="4"/>
        <v>0</v>
      </c>
      <c r="AO33" s="195">
        <f t="shared" si="5"/>
        <v>0</v>
      </c>
      <c r="AP33" s="195">
        <f t="shared" si="6"/>
        <v>54206</v>
      </c>
      <c r="AQ33" s="195">
        <f t="shared" si="7"/>
        <v>0</v>
      </c>
      <c r="AR33" s="195">
        <f t="shared" si="8"/>
        <v>0</v>
      </c>
      <c r="AS33" s="195">
        <f t="shared" si="9"/>
        <v>4230</v>
      </c>
      <c r="AT33" s="139">
        <f t="shared" si="10"/>
        <v>49976</v>
      </c>
      <c r="AU33" s="195">
        <f t="shared" si="11"/>
        <v>0</v>
      </c>
      <c r="AV33" s="218" t="s">
        <v>930</v>
      </c>
      <c r="AW33" s="313"/>
    </row>
    <row r="34" spans="4:50" ht="28.5" customHeight="1" x14ac:dyDescent="0.25">
      <c r="D34" s="18">
        <v>18.75</v>
      </c>
      <c r="AB34" s="233" t="s">
        <v>617</v>
      </c>
      <c r="AC34" s="237" t="s">
        <v>931</v>
      </c>
      <c r="AD34" s="235">
        <f t="shared" si="1"/>
        <v>54206</v>
      </c>
      <c r="AE34" s="236">
        <v>0</v>
      </c>
      <c r="AF34" s="236">
        <v>0</v>
      </c>
      <c r="AG34" s="236">
        <v>54206</v>
      </c>
      <c r="AH34" s="236">
        <v>0</v>
      </c>
      <c r="AI34" s="236">
        <v>0</v>
      </c>
      <c r="AJ34" s="236">
        <v>4230</v>
      </c>
      <c r="AK34" s="235">
        <f t="shared" si="2"/>
        <v>49976</v>
      </c>
      <c r="AL34" s="236">
        <v>0</v>
      </c>
      <c r="AM34" s="139">
        <f t="shared" si="3"/>
        <v>54206</v>
      </c>
      <c r="AN34" s="195">
        <f t="shared" si="4"/>
        <v>0</v>
      </c>
      <c r="AO34" s="195">
        <f t="shared" si="5"/>
        <v>0</v>
      </c>
      <c r="AP34" s="195">
        <f t="shared" si="6"/>
        <v>54206</v>
      </c>
      <c r="AQ34" s="195">
        <f t="shared" si="7"/>
        <v>0</v>
      </c>
      <c r="AR34" s="195">
        <f t="shared" si="8"/>
        <v>0</v>
      </c>
      <c r="AS34" s="195">
        <f t="shared" si="9"/>
        <v>4230</v>
      </c>
      <c r="AT34" s="139">
        <f t="shared" si="10"/>
        <v>49976</v>
      </c>
      <c r="AU34" s="195">
        <f t="shared" si="11"/>
        <v>0</v>
      </c>
      <c r="AV34" s="218" t="s">
        <v>932</v>
      </c>
      <c r="AW34" s="313"/>
    </row>
    <row r="35" spans="4:50" ht="28.5" customHeight="1" x14ac:dyDescent="0.25">
      <c r="D35" s="18">
        <v>18.75</v>
      </c>
      <c r="AB35" s="233" t="s">
        <v>619</v>
      </c>
      <c r="AC35" s="237" t="s">
        <v>933</v>
      </c>
      <c r="AD35" s="235">
        <f t="shared" si="1"/>
        <v>54206</v>
      </c>
      <c r="AE35" s="236">
        <v>0</v>
      </c>
      <c r="AF35" s="236">
        <v>0</v>
      </c>
      <c r="AG35" s="236">
        <v>54206</v>
      </c>
      <c r="AH35" s="236">
        <v>0</v>
      </c>
      <c r="AI35" s="236">
        <v>0</v>
      </c>
      <c r="AJ35" s="236">
        <v>4230</v>
      </c>
      <c r="AK35" s="235">
        <f t="shared" si="2"/>
        <v>49976</v>
      </c>
      <c r="AL35" s="236">
        <v>0</v>
      </c>
      <c r="AM35" s="139">
        <f t="shared" si="3"/>
        <v>54206</v>
      </c>
      <c r="AN35" s="195">
        <f t="shared" si="4"/>
        <v>0</v>
      </c>
      <c r="AO35" s="195">
        <f t="shared" si="5"/>
        <v>0</v>
      </c>
      <c r="AP35" s="195">
        <f t="shared" si="6"/>
        <v>54206</v>
      </c>
      <c r="AQ35" s="195">
        <f t="shared" si="7"/>
        <v>0</v>
      </c>
      <c r="AR35" s="195">
        <f t="shared" si="8"/>
        <v>0</v>
      </c>
      <c r="AS35" s="195">
        <f t="shared" si="9"/>
        <v>4230</v>
      </c>
      <c r="AT35" s="139">
        <f t="shared" si="10"/>
        <v>49976</v>
      </c>
      <c r="AU35" s="195">
        <f t="shared" si="11"/>
        <v>0</v>
      </c>
      <c r="AV35" s="218" t="s">
        <v>934</v>
      </c>
      <c r="AW35" s="313"/>
    </row>
    <row r="36" spans="4:50" ht="28.5" customHeight="1" x14ac:dyDescent="0.25">
      <c r="D36" s="18">
        <v>18.75</v>
      </c>
      <c r="AB36" s="233" t="s">
        <v>935</v>
      </c>
      <c r="AC36" s="237" t="s">
        <v>936</v>
      </c>
      <c r="AD36" s="235">
        <f t="shared" si="1"/>
        <v>54206</v>
      </c>
      <c r="AE36" s="236">
        <v>0</v>
      </c>
      <c r="AF36" s="236">
        <v>0</v>
      </c>
      <c r="AG36" s="236">
        <v>54206</v>
      </c>
      <c r="AH36" s="236">
        <v>0</v>
      </c>
      <c r="AI36" s="236">
        <v>0</v>
      </c>
      <c r="AJ36" s="236">
        <v>4230</v>
      </c>
      <c r="AK36" s="235">
        <f t="shared" si="2"/>
        <v>49976</v>
      </c>
      <c r="AL36" s="236">
        <v>0</v>
      </c>
      <c r="AM36" s="139">
        <f t="shared" si="3"/>
        <v>54206</v>
      </c>
      <c r="AN36" s="195">
        <f t="shared" si="4"/>
        <v>0</v>
      </c>
      <c r="AO36" s="195">
        <f t="shared" si="5"/>
        <v>0</v>
      </c>
      <c r="AP36" s="195">
        <f t="shared" si="6"/>
        <v>54206</v>
      </c>
      <c r="AQ36" s="195">
        <f t="shared" si="7"/>
        <v>0</v>
      </c>
      <c r="AR36" s="195">
        <f t="shared" si="8"/>
        <v>0</v>
      </c>
      <c r="AS36" s="195">
        <f t="shared" si="9"/>
        <v>4230</v>
      </c>
      <c r="AT36" s="139">
        <f t="shared" si="10"/>
        <v>49976</v>
      </c>
      <c r="AU36" s="195">
        <f t="shared" si="11"/>
        <v>0</v>
      </c>
      <c r="AV36" s="218" t="s">
        <v>937</v>
      </c>
      <c r="AW36" s="313"/>
    </row>
    <row r="37" spans="4:50" ht="28.5" customHeight="1" x14ac:dyDescent="0.25">
      <c r="D37" s="18">
        <v>18.75</v>
      </c>
      <c r="AB37" s="233" t="s">
        <v>658</v>
      </c>
      <c r="AC37" s="237" t="s">
        <v>938</v>
      </c>
      <c r="AD37" s="235">
        <f t="shared" si="1"/>
        <v>54206</v>
      </c>
      <c r="AE37" s="236">
        <v>0</v>
      </c>
      <c r="AF37" s="236">
        <v>0</v>
      </c>
      <c r="AG37" s="236">
        <v>54206</v>
      </c>
      <c r="AH37" s="236">
        <v>0</v>
      </c>
      <c r="AI37" s="236">
        <v>0</v>
      </c>
      <c r="AJ37" s="236">
        <v>4230</v>
      </c>
      <c r="AK37" s="235">
        <f t="shared" si="2"/>
        <v>49976</v>
      </c>
      <c r="AL37" s="236">
        <v>0</v>
      </c>
      <c r="AM37" s="139">
        <f t="shared" si="3"/>
        <v>54206</v>
      </c>
      <c r="AN37" s="195">
        <f t="shared" si="4"/>
        <v>0</v>
      </c>
      <c r="AO37" s="195">
        <f t="shared" si="5"/>
        <v>0</v>
      </c>
      <c r="AP37" s="195">
        <f t="shared" si="6"/>
        <v>54206</v>
      </c>
      <c r="AQ37" s="195">
        <f t="shared" si="7"/>
        <v>0</v>
      </c>
      <c r="AR37" s="195">
        <f t="shared" si="8"/>
        <v>0</v>
      </c>
      <c r="AS37" s="195">
        <f t="shared" si="9"/>
        <v>4230</v>
      </c>
      <c r="AT37" s="139">
        <f t="shared" si="10"/>
        <v>49976</v>
      </c>
      <c r="AU37" s="195">
        <f t="shared" si="11"/>
        <v>0</v>
      </c>
      <c r="AV37" s="218" t="s">
        <v>939</v>
      </c>
      <c r="AW37" s="313"/>
    </row>
    <row r="38" spans="4:50" ht="28.5" customHeight="1" x14ac:dyDescent="0.25">
      <c r="D38" s="18">
        <v>18.75</v>
      </c>
      <c r="AB38" s="233" t="s">
        <v>659</v>
      </c>
      <c r="AC38" s="237" t="s">
        <v>940</v>
      </c>
      <c r="AD38" s="235">
        <f t="shared" si="1"/>
        <v>54206</v>
      </c>
      <c r="AE38" s="236">
        <v>0</v>
      </c>
      <c r="AF38" s="236">
        <v>0</v>
      </c>
      <c r="AG38" s="236">
        <v>54206</v>
      </c>
      <c r="AH38" s="236">
        <v>0</v>
      </c>
      <c r="AI38" s="236">
        <v>0</v>
      </c>
      <c r="AJ38" s="236">
        <v>4230</v>
      </c>
      <c r="AK38" s="235">
        <f t="shared" si="2"/>
        <v>49976</v>
      </c>
      <c r="AL38" s="236">
        <v>0</v>
      </c>
      <c r="AM38" s="139">
        <f t="shared" si="3"/>
        <v>54206</v>
      </c>
      <c r="AN38" s="195">
        <f t="shared" si="4"/>
        <v>0</v>
      </c>
      <c r="AO38" s="195">
        <f t="shared" si="5"/>
        <v>0</v>
      </c>
      <c r="AP38" s="195">
        <f t="shared" si="6"/>
        <v>54206</v>
      </c>
      <c r="AQ38" s="195">
        <f t="shared" si="7"/>
        <v>0</v>
      </c>
      <c r="AR38" s="195">
        <f t="shared" si="8"/>
        <v>0</v>
      </c>
      <c r="AS38" s="195">
        <f t="shared" si="9"/>
        <v>4230</v>
      </c>
      <c r="AT38" s="139">
        <f t="shared" si="10"/>
        <v>49976</v>
      </c>
      <c r="AU38" s="195">
        <f t="shared" si="11"/>
        <v>0</v>
      </c>
      <c r="AV38" s="218" t="s">
        <v>941</v>
      </c>
      <c r="AW38" s="313"/>
    </row>
    <row r="39" spans="4:50" ht="11.85" customHeight="1" x14ac:dyDescent="0.25">
      <c r="D39" s="18">
        <v>11.25</v>
      </c>
      <c r="AB39" s="238"/>
      <c r="AC39" s="238"/>
      <c r="AD39" s="231"/>
      <c r="AE39" s="231"/>
      <c r="AF39" s="231"/>
      <c r="AG39" s="231"/>
      <c r="AH39" s="231"/>
      <c r="AI39" s="231"/>
      <c r="AJ39" s="231"/>
      <c r="AK39" s="231"/>
      <c r="AL39" s="231"/>
    </row>
    <row r="40" spans="4:50" ht="11.25" hidden="1" customHeight="1" x14ac:dyDescent="0.25">
      <c r="D40" s="19">
        <v>0</v>
      </c>
      <c r="AX40" s="19" t="s">
        <v>457</v>
      </c>
    </row>
  </sheetData>
  <sheetProtection formatColumns="0" formatRows="0" insertRows="0" deleteColumns="0" deleteRows="0" sort="0" autoFilter="0"/>
  <mergeCells count="20">
    <mergeCell ref="AB8:AC8"/>
    <mergeCell ref="AD8:AG8"/>
    <mergeCell ref="AB22:AL22"/>
    <mergeCell ref="AB24:AB26"/>
    <mergeCell ref="AC24:AC26"/>
    <mergeCell ref="AE25:AG25"/>
    <mergeCell ref="AH25:AK25"/>
    <mergeCell ref="AL25:AL26"/>
    <mergeCell ref="AD24:AL24"/>
    <mergeCell ref="AD25:AD26"/>
    <mergeCell ref="AB21:AD21"/>
    <mergeCell ref="AU25:AU26"/>
    <mergeCell ref="AW24:AW26"/>
    <mergeCell ref="AV24:AV26"/>
    <mergeCell ref="AW27:AW38"/>
    <mergeCell ref="AM8:AP8"/>
    <mergeCell ref="AM24:AU24"/>
    <mergeCell ref="AM25:AM26"/>
    <mergeCell ref="AN25:AP25"/>
    <mergeCell ref="AQ25:AT25"/>
  </mergeCells>
  <dataValidations count="2">
    <dataValidation type="list" allowBlank="1" showInputMessage="1" showErrorMessage="1" errorTitle="Ошибка" error="Выберите значение из списка" prompt="Выберите значение из списка" sqref="AV27:AV38" xr:uid="{00000000-0002-0000-0F00-000000000000}">
      <formula1>doc_list</formula1>
    </dataValidation>
    <dataValidation type="whole" allowBlank="1" showErrorMessage="1" errorTitle="Ошибка" error="Допускается ввод только неотрицательных целых чисел!" sqref="AU27:AU38 AE27:AJ38 AN27:AS38 AL27:AL38" xr:uid="{00000000-0002-0000-0F00-000001000000}">
      <formula1>0</formula1>
      <formula2>9.99999999999999E+23</formula2>
    </dataValidation>
  </dataValidations>
  <hyperlinks>
    <hyperlink ref="AV27" r:id="rId1" tooltip="https://regportal-tariff.ru/disclo/get_file?p_guid=aa2245d0-d5f2-4ce3-a51c-687c950eda6f" xr:uid="{3F5E2A17-CE63-EA7E-0E79-FA9767F0E082}"/>
    <hyperlink ref="AV28" r:id="rId2" tooltip="https://regportal-tariff.ru/disclo/get_file?p_guid=4bf57610-f18f-4a23-b758-c293c81c3915" xr:uid="{91024267-FCCE-0BD4-7101-8E622432F6A9}"/>
    <hyperlink ref="AV29" r:id="rId3" tooltip="https://regportal-tariff.ru/disclo/get_file?p_guid=0b3bc7ed-53e5-4129-8972-ace9162e5d98" xr:uid="{28436FF3-83C6-CDF7-01B8-8D6B6F59D1AD}"/>
    <hyperlink ref="AV30" r:id="rId4" tooltip="https://regportal-tariff.ru/disclo/get_file?p_guid=290a78cf-4e15-42f3-90f4-229c3f9c123b" xr:uid="{275516DE-D0EA-AEF3-2DEB-1B34C88A05A8}"/>
    <hyperlink ref="AV31" r:id="rId5" tooltip="https://regportal-tariff.ru/disclo/get_file?p_guid=47d24168-e657-4deb-8ffa-9e95b977543b" xr:uid="{92004C83-869B-2362-699F-B4EF7267B50B}"/>
    <hyperlink ref="AV32" r:id="rId6" tooltip="https://regportal-tariff.ru/disclo/get_file?p_guid=45dee646-236f-439e-b617-71ae58a49235" xr:uid="{6F0FDDD4-DE5F-BE19-8EBF-85E2470CEA89}"/>
    <hyperlink ref="AV33" r:id="rId7" tooltip="https://regportal-tariff.ru/disclo/get_file?p_guid=bb432388-86c2-4f74-96c2-9dc4566a3e0b" xr:uid="{420971F1-257F-541C-3CDA-7F30146E9969}"/>
    <hyperlink ref="AV34" r:id="rId8" tooltip="https://regportal-tariff.ru/disclo/get_file?p_guid=d3adba19-ee6a-4165-8e3b-04bc5e83c642" xr:uid="{146D7636-D65E-D215-0771-EFBAE4209A76}"/>
    <hyperlink ref="AV35" r:id="rId9" tooltip="https://regportal-tariff.ru/disclo/get_file?p_guid=816d0612-aa4a-4068-b3f8-c11ff4a7784d" xr:uid="{60D60246-048F-2281-B318-76C4B8544AA7}"/>
    <hyperlink ref="AV36" r:id="rId10" tooltip="https://regportal-tariff.ru/disclo/get_file?p_guid=87f68d78-973d-458b-8e93-20edabae3937" xr:uid="{0937248E-8AA9-E0D6-63D2-606ABB537B3D}"/>
    <hyperlink ref="AV37" r:id="rId11" tooltip="https://regportal-tariff.ru/disclo/get_file?p_guid=f7741fda-b01a-4bc7-a247-6a3d4f186426" xr:uid="{7774120F-08CA-D442-226E-8BDB8DC75A3A}"/>
    <hyperlink ref="AV38" r:id="rId12" tooltip="https://regportal-tariff.ru/disclo/get_file?p_guid=09f58d97-f372-4774-94f9-bb55a5943e1e" xr:uid="{AA30F0CD-716B-98C6-7CAE-49597B5E25B1}"/>
  </hyperlinks>
  <printOptions horizontalCentered="1"/>
  <pageMargins left="0.6692913385826772" right="0.51181102362204722" top="0.47244094488188981" bottom="0.39370078740157483" header="0.19685039370078741" footer="0.19685039370078741"/>
  <pageSetup paperSize="9" scale="40" fitToHeight="2" orientation="landscape" r:id="rId13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D764-E1AD-CFD4-9D4D-B0707E0078A6}">
  <sheetPr>
    <pageSetUpPr fitToPage="1"/>
  </sheetPr>
  <dimension ref="A1:AF53"/>
  <sheetViews>
    <sheetView showGridLines="0" zoomScaleNormal="100" workbookViewId="0">
      <pane xSplit="29" ySplit="26" topLeftCell="AD27" activePane="bottomRight" state="frozen"/>
      <selection pane="topRight" activeCell="AD1" sqref="AD1"/>
      <selection pane="bottomLeft" activeCell="A27" sqref="A27"/>
      <selection pane="bottomRight" activeCell="AD34" sqref="AD34"/>
    </sheetView>
  </sheetViews>
  <sheetFormatPr defaultColWidth="9.140625" defaultRowHeight="11.25" customHeight="1" x14ac:dyDescent="0.25"/>
  <cols>
    <col min="1" max="1" width="9.140625" hidden="1"/>
    <col min="2" max="26" width="8.7109375" hidden="1" customWidth="1"/>
    <col min="27" max="27" width="6" customWidth="1"/>
    <col min="28" max="28" width="6.85546875" customWidth="1"/>
    <col min="29" max="29" width="63" customWidth="1"/>
    <col min="30" max="30" width="15.85546875" customWidth="1"/>
    <col min="31" max="31" width="15.7109375" hidden="1" customWidth="1"/>
    <col min="32" max="32" width="8.28515625" hidden="1" customWidth="1"/>
  </cols>
  <sheetData>
    <row r="1" spans="4:32" ht="11.25" hidden="1" customHeight="1" x14ac:dyDescent="0.25"/>
    <row r="2" spans="4:32" ht="17.25" hidden="1" customHeight="1" x14ac:dyDescent="0.25">
      <c r="AE2" s="31" t="b">
        <f>REPORT_OWNER="Версия регулятора"</f>
        <v>0</v>
      </c>
    </row>
    <row r="3" spans="4:32" ht="17.25" hidden="1" customHeight="1" x14ac:dyDescent="0.25"/>
    <row r="4" spans="4:32" ht="17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6.86</v>
      </c>
      <c r="AC4" s="18">
        <v>63</v>
      </c>
      <c r="AD4" s="18">
        <v>12.29</v>
      </c>
      <c r="AE4" s="18">
        <v>15</v>
      </c>
      <c r="AF4" s="19">
        <v>0</v>
      </c>
    </row>
    <row r="5" spans="4:32" ht="17.25" hidden="1" customHeight="1" x14ac:dyDescent="0.25">
      <c r="D5" s="18">
        <v>25</v>
      </c>
    </row>
    <row r="6" spans="4:32" ht="17.25" hidden="1" customHeight="1" x14ac:dyDescent="0.25">
      <c r="D6" s="18">
        <v>25</v>
      </c>
    </row>
    <row r="7" spans="4:32" ht="17.25" hidden="1" customHeight="1" x14ac:dyDescent="0.25">
      <c r="D7" s="18">
        <v>25</v>
      </c>
    </row>
    <row r="8" spans="4:32" ht="17.25" hidden="1" customHeight="1" x14ac:dyDescent="0.25">
      <c r="D8" s="18">
        <v>25</v>
      </c>
    </row>
    <row r="9" spans="4:32" ht="17.25" hidden="1" customHeight="1" x14ac:dyDescent="0.25">
      <c r="D9" s="18">
        <v>25</v>
      </c>
    </row>
    <row r="10" spans="4:32" ht="17.25" hidden="1" customHeight="1" x14ac:dyDescent="0.25">
      <c r="D10" s="18">
        <v>25</v>
      </c>
    </row>
    <row r="11" spans="4:32" ht="17.25" hidden="1" customHeight="1" x14ac:dyDescent="0.25">
      <c r="D11" s="18">
        <v>25</v>
      </c>
    </row>
    <row r="12" spans="4:32" ht="17.25" hidden="1" customHeight="1" x14ac:dyDescent="0.25">
      <c r="D12" s="18">
        <v>25</v>
      </c>
    </row>
    <row r="13" spans="4:32" ht="17.25" hidden="1" customHeight="1" x14ac:dyDescent="0.25">
      <c r="D13" s="18">
        <v>25</v>
      </c>
    </row>
    <row r="14" spans="4:32" ht="17.25" hidden="1" customHeight="1" x14ac:dyDescent="0.25">
      <c r="D14" s="18">
        <v>25</v>
      </c>
    </row>
    <row r="15" spans="4:32" ht="17.25" hidden="1" customHeight="1" x14ac:dyDescent="0.25">
      <c r="D15" s="18">
        <v>25</v>
      </c>
    </row>
    <row r="16" spans="4:32" ht="17.25" hidden="1" customHeight="1" x14ac:dyDescent="0.25">
      <c r="D16" s="18">
        <v>25</v>
      </c>
    </row>
    <row r="17" spans="4:31" ht="17.25" hidden="1" customHeight="1" x14ac:dyDescent="0.25">
      <c r="D17" s="18">
        <v>25</v>
      </c>
    </row>
    <row r="18" spans="4:31" ht="17.25" hidden="1" customHeight="1" x14ac:dyDescent="0.25">
      <c r="D18" s="18">
        <v>25</v>
      </c>
    </row>
    <row r="19" spans="4:31" ht="17.25" hidden="1" customHeight="1" x14ac:dyDescent="0.25">
      <c r="D19" s="18">
        <v>25</v>
      </c>
    </row>
    <row r="20" spans="4:31" ht="15.75" customHeight="1" x14ac:dyDescent="0.25">
      <c r="D20" s="18">
        <v>15</v>
      </c>
    </row>
    <row r="21" spans="4:31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1" ht="59.25" customHeight="1" x14ac:dyDescent="0.25">
      <c r="D22" s="18">
        <v>56.5</v>
      </c>
      <c r="AB22" s="269" t="s">
        <v>942</v>
      </c>
      <c r="AC22" s="269"/>
      <c r="AD22" s="269"/>
    </row>
    <row r="23" spans="4:31" ht="5.45" customHeight="1" x14ac:dyDescent="0.25">
      <c r="D23" s="18">
        <v>5.25</v>
      </c>
    </row>
    <row r="24" spans="4:31" ht="37.9" customHeight="1" x14ac:dyDescent="0.25">
      <c r="D24" s="18">
        <v>36</v>
      </c>
      <c r="AB24" s="55" t="s">
        <v>487</v>
      </c>
      <c r="AC24" s="55" t="s">
        <v>600</v>
      </c>
      <c r="AD24" s="70" t="str">
        <f>IF(PRD="","Не определено",PRD)&amp;" год"</f>
        <v>2023 год</v>
      </c>
      <c r="AE24" s="110" t="str">
        <f>IF(PRD="","Не определено",PRD)&amp;" год"</f>
        <v>2023 год</v>
      </c>
    </row>
    <row r="25" spans="4:31" ht="1.5" customHeight="1" x14ac:dyDescent="0.25">
      <c r="D25" s="18">
        <v>1.5</v>
      </c>
    </row>
    <row r="26" spans="4:31" ht="5.25" hidden="1" customHeight="1" x14ac:dyDescent="0.25">
      <c r="D26" s="18">
        <v>0</v>
      </c>
    </row>
    <row r="27" spans="4:31" ht="38.25" customHeight="1" x14ac:dyDescent="0.25">
      <c r="D27" s="18">
        <v>36.5</v>
      </c>
      <c r="AB27" s="55" t="s">
        <v>58</v>
      </c>
      <c r="AC27" s="72" t="s">
        <v>605</v>
      </c>
      <c r="AD27" s="74">
        <f>AD28+AD29+AD30+AD31</f>
        <v>54206</v>
      </c>
      <c r="AE27" s="74">
        <f>SUM(AE28:AE31)</f>
        <v>54206</v>
      </c>
    </row>
    <row r="28" spans="4:31" ht="15.75" customHeight="1" x14ac:dyDescent="0.25">
      <c r="D28" s="18">
        <v>15</v>
      </c>
      <c r="AB28" s="55" t="s">
        <v>149</v>
      </c>
      <c r="AC28" s="72" t="s">
        <v>606</v>
      </c>
      <c r="AD28" s="114">
        <v>0</v>
      </c>
      <c r="AE28" s="195">
        <f>AD28</f>
        <v>0</v>
      </c>
    </row>
    <row r="29" spans="4:31" ht="15.75" customHeight="1" x14ac:dyDescent="0.25">
      <c r="D29" s="18">
        <v>15</v>
      </c>
      <c r="AB29" s="55" t="s">
        <v>513</v>
      </c>
      <c r="AC29" s="72" t="s">
        <v>943</v>
      </c>
      <c r="AD29" s="114">
        <v>0</v>
      </c>
      <c r="AE29" s="195">
        <f>AD29</f>
        <v>0</v>
      </c>
    </row>
    <row r="30" spans="4:31" ht="15.75" customHeight="1" x14ac:dyDescent="0.25">
      <c r="D30" s="18">
        <v>15</v>
      </c>
      <c r="AB30" s="55" t="s">
        <v>557</v>
      </c>
      <c r="AC30" s="72" t="s">
        <v>608</v>
      </c>
      <c r="AD30" s="114">
        <v>4230</v>
      </c>
      <c r="AE30" s="195">
        <f>AD30</f>
        <v>4230</v>
      </c>
    </row>
    <row r="31" spans="4:31" ht="15.75" customHeight="1" x14ac:dyDescent="0.25">
      <c r="D31" s="18">
        <v>15</v>
      </c>
      <c r="AB31" s="55" t="s">
        <v>609</v>
      </c>
      <c r="AC31" s="72" t="s">
        <v>610</v>
      </c>
      <c r="AD31" s="114">
        <v>49976</v>
      </c>
      <c r="AE31" s="195">
        <f>AD31</f>
        <v>49976</v>
      </c>
    </row>
    <row r="32" spans="4:31" ht="35.450000000000003" customHeight="1" x14ac:dyDescent="0.25">
      <c r="D32" s="18">
        <v>33.75</v>
      </c>
      <c r="AB32" s="55" t="s">
        <v>492</v>
      </c>
      <c r="AC32" s="72" t="s">
        <v>944</v>
      </c>
      <c r="AD32" s="115" t="str">
        <f>IF(AD28=0,"-",ROUND(SUMPRODUCT('ф.8.1 Журнал учета'!$AJ$29:$AJ$89,'ф.8.1 Журнал учета'!$AR$29:$AR$89,--ISNUMBER(SEARCH("В",'ф.8.1 Журнал учета'!$AI$29:$AI$89)),--ISNUMBER(SEARCH(1,'ф.8.1 Журнал учета'!$BB$29:$BB$89)))/AD28,5))</f>
        <v>-</v>
      </c>
      <c r="AE32" s="115" t="str">
        <f>IF(AE28=0,"-",ROUND(SUMPRODUCT('ф.8.1 Журнал учета'!$BT$29:$BT$89,'ф.8.1 Журнал учета'!$BY$29:$BY$89,--ISNUMBER(SEARCH("В",'ф.8.1 Журнал учета'!$BS$29:$BS$89)),--ISNUMBER(SEARCH(1,'ф.8.1 Журнал учета'!$CD$29:$CD$89)))/AE28,5))</f>
        <v>-</v>
      </c>
    </row>
    <row r="33" spans="4:31" ht="36.950000000000003" customHeight="1" x14ac:dyDescent="0.25">
      <c r="D33" s="18">
        <v>35.25</v>
      </c>
      <c r="AB33" s="55" t="s">
        <v>88</v>
      </c>
      <c r="AC33" s="72" t="s">
        <v>612</v>
      </c>
      <c r="AD33" s="115" t="str">
        <f>IF(AD29=0,"-",ROUND(SUMPRODUCT('ф.8.1 Журнал учета'!$AJ$29:$AJ$89,'ф.8.1 Журнал учета'!$AS$29:$AS$89,--ISNUMBER(SEARCH("В",'ф.8.1 Журнал учета'!$AI$29:$AI$89)),--ISNUMBER(SEARCH(1,'ф.8.1 Журнал учета'!$BB$29:$BB$89)))/AD29,5))</f>
        <v>-</v>
      </c>
      <c r="AE33" s="115" t="str">
        <f>IF(AE29=0,"-",ROUND(SUMPRODUCT('ф.8.1 Журнал учета'!$BT$29:$BT$89,'ф.8.1 Журнал учета'!$BZ$29:$BZ$89,--ISNUMBER(SEARCH("В",'ф.8.1 Журнал учета'!$BS$29:$BS$89)),--ISNUMBER(SEARCH(1,'ф.8.1 Журнал учета'!$CD$29:$CD$89)))/AE29,5))</f>
        <v>-</v>
      </c>
    </row>
    <row r="34" spans="4:31" ht="36.950000000000003" customHeight="1" x14ac:dyDescent="0.25">
      <c r="D34" s="18">
        <v>35.25</v>
      </c>
      <c r="AB34" s="55" t="s">
        <v>95</v>
      </c>
      <c r="AC34" s="72" t="s">
        <v>613</v>
      </c>
      <c r="AD34" s="115" cm="1">
        <f t="array" ref="AD34">IF(AD30=0,"-",ROUND(SUMPRODUCT('ф.8.1 Журнал учета'!$AJ$29:$AJ$89,'ф.8.1 Журнал учета'!$AT$29:$AT$89,--ISNUMBER(SEARCH("В",'ф.8.1 Журнал учета'!$AI$29:$AI$89)),--ISNUMBER(SEARCH(1,'ф.8.1 Журнал учета'!$BB$29:$BB$89)))/AD30,5))</f>
        <v>0.31213000000000002</v>
      </c>
      <c r="AE34" s="115" cm="1">
        <f t="array" ref="AE34">IF(AE30=0,"-",ROUND(SUMPRODUCT('ф.8.1 Журнал учета'!$BT$29:$BT$89,'ф.8.1 Журнал учета'!$CA$29:$CA$89,--ISNUMBER(SEARCH("В",'ф.8.1 Журнал учета'!$BS$29:$BS$89)),--ISNUMBER(SEARCH(1,'ф.8.1 Журнал учета'!$CD$29:$CD$89)))/AE30,5))</f>
        <v>0.31213000000000002</v>
      </c>
    </row>
    <row r="35" spans="4:31" ht="36.950000000000003" customHeight="1" x14ac:dyDescent="0.25">
      <c r="D35" s="18">
        <v>35.25</v>
      </c>
      <c r="AB35" s="55" t="s">
        <v>103</v>
      </c>
      <c r="AC35" s="72" t="s">
        <v>945</v>
      </c>
      <c r="AD35" s="115" cm="1">
        <f t="array" ref="AD35">IF(AD31=0,"-",ROUND(SUMPRODUCT('ф.8.1 Журнал учета'!$AJ$29:$AJ$89,'ф.8.1 Журнал учета'!$AU$29:$AU$89,--ISNUMBER(SEARCH("В",'ф.8.1 Журнал учета'!$AI$29:$AI$89)),--ISNUMBER(SEARCH(1,'ф.8.1 Журнал учета'!$BB$29:$BB$89)))/AD31,5))</f>
        <v>0.18015</v>
      </c>
      <c r="AE35" s="115" cm="1">
        <f t="array" ref="AE35">IF(AE31=0,"-",ROUND(SUMPRODUCT('ф.8.1 Журнал учета'!$BT$29:$BT$89,'ф.8.1 Журнал учета'!$CB$29:$CB$89,--ISNUMBER(SEARCH("В",'ф.8.1 Журнал учета'!$BS$29:$BS$89)),--ISNUMBER(SEARCH(1,'ф.8.1 Журнал учета'!$CD$29:$CD$89)))/AE31,5))</f>
        <v>0.18015</v>
      </c>
    </row>
    <row r="36" spans="4:31" ht="26.85" customHeight="1" x14ac:dyDescent="0.25">
      <c r="D36" s="18">
        <v>25.5</v>
      </c>
      <c r="AB36" s="55" t="s">
        <v>537</v>
      </c>
      <c r="AC36" s="72" t="s">
        <v>946</v>
      </c>
      <c r="AD36" s="115" t="str">
        <f>IF(AD28=0,"-",ROUND(SUMIFS('ф.8.1 Журнал учета'!$AR$29:$AR$89,'ф.8.1 Журнал учета'!$AI$29:$AI$89,"В",'ф.8.1 Журнал учета'!$BB$29:$BB$89,"=1")/AD28,5))</f>
        <v>-</v>
      </c>
      <c r="AE36" s="115" t="str">
        <f>IF(AE28=0,"-",ROUND(SUMIFS('ф.8.1 Журнал учета'!$BY$29:$BY$89,'ф.8.1 Журнал учета'!$BS$29:$BS$89,"В",'ф.8.1 Журнал учета'!$CD$29:$CD$89,"=1")/AE28,5))</f>
        <v>-</v>
      </c>
    </row>
    <row r="37" spans="4:31" ht="26.85" customHeight="1" x14ac:dyDescent="0.25">
      <c r="D37" s="18">
        <v>25.5</v>
      </c>
      <c r="AB37" s="55" t="s">
        <v>543</v>
      </c>
      <c r="AC37" s="72" t="s">
        <v>947</v>
      </c>
      <c r="AD37" s="115" t="str">
        <f>IF(AD29=0,"-",ROUND(SUMIFS('ф.8.1 Журнал учета'!$AS$29:$AS$89,'ф.8.1 Журнал учета'!$AI$29:$AI$89,"В",'ф.8.1 Журнал учета'!$BB$29:$BB$89,"=1")/AD29,5))</f>
        <v>-</v>
      </c>
      <c r="AE37" s="115" t="str">
        <f>IF(AE29=0,"-",ROUND(SUMIFS('ф.8.1 Журнал учета'!$BZ$29:$BZ$89,'ф.8.1 Журнал учета'!$BS$29:$BS$89,"В",'ф.8.1 Журнал учета'!$CD$29:$CD$89,"=1")/AE29,5))</f>
        <v>-</v>
      </c>
    </row>
    <row r="38" spans="4:31" ht="26.85" customHeight="1" x14ac:dyDescent="0.25">
      <c r="D38" s="18">
        <v>25.5</v>
      </c>
      <c r="AB38" s="55" t="s">
        <v>617</v>
      </c>
      <c r="AC38" s="72" t="s">
        <v>618</v>
      </c>
      <c r="AD38" s="115">
        <f>IF(AD30=0,"-",ROUND(SUMIFS('ф.8.1 Журнал учета'!$AT$29:$AT$89,'ф.8.1 Журнал учета'!$AI$29:$AI$89,"В",'ф.8.1 Журнал учета'!$BB$29:$BB$89,"=1")/AD30,5))</f>
        <v>0.29196</v>
      </c>
      <c r="AE38" s="115">
        <f>IF(AE30=0,"-",ROUND(SUMIFS('ф.8.1 Журнал учета'!$CA$29:$CA$89,'ф.8.1 Журнал учета'!$BS$29:$BS$89,"В",'ф.8.1 Журнал учета'!$CD$29:$CD$89,"=1")/AE30,5))</f>
        <v>0.29196</v>
      </c>
    </row>
    <row r="39" spans="4:31" ht="26.85" customHeight="1" x14ac:dyDescent="0.25">
      <c r="D39" s="18">
        <v>25.5</v>
      </c>
      <c r="AB39" s="55" t="s">
        <v>619</v>
      </c>
      <c r="AC39" s="72" t="s">
        <v>620</v>
      </c>
      <c r="AD39" s="115">
        <f>IF(AD31=0,"-",ROUND(SUMIFS('ф.8.1 Журнал учета'!$AU$29:$AU$89,'ф.8.1 Журнал учета'!$AI$29:$AI$89,"В",'ф.8.1 Журнал учета'!$BB$29:$BB$89,"=1")/AD31,5))</f>
        <v>0.15495</v>
      </c>
      <c r="AE39" s="115">
        <f>IF(AE31=0,"-",ROUND(SUMIFS('ф.8.1 Журнал учета'!$CB$29:$CB$89,'ф.8.1 Журнал учета'!$BS$29:$BS$89,"В",'ф.8.1 Журнал учета'!$CD$29:$CD$89,"=1")/AE31,5))</f>
        <v>0.15495</v>
      </c>
    </row>
    <row r="40" spans="4:31" ht="40.35" customHeight="1" x14ac:dyDescent="0.25">
      <c r="D40" s="18">
        <v>38.5</v>
      </c>
      <c r="AB40" s="55" t="s">
        <v>935</v>
      </c>
      <c r="AC40" s="72" t="s">
        <v>948</v>
      </c>
      <c r="AD40" s="111">
        <f>IF(AD27=0,0,SUM('ф.8.1 Журнал учета'!$BG$29:$BG$77)/AD27)</f>
        <v>0</v>
      </c>
      <c r="AE40" s="111">
        <f>IF(AE27=0,0,SUM('ф.8.1 Журнал учета'!$CH$29:$CH$77)/AE27)</f>
        <v>0</v>
      </c>
    </row>
    <row r="41" spans="4:31" ht="36.950000000000003" customHeight="1" x14ac:dyDescent="0.25">
      <c r="D41" s="18">
        <v>35.25</v>
      </c>
      <c r="AB41" s="55" t="s">
        <v>949</v>
      </c>
      <c r="AC41" s="72" t="s">
        <v>950</v>
      </c>
      <c r="AD41" s="115" t="str">
        <f>IF(AD28=0,"-",ROUND(SUM('ф.8.1 Журнал учета'!$BI$29:$BI$77)/AD28,5))</f>
        <v>-</v>
      </c>
      <c r="AE41" s="115" t="str">
        <f>IF(AE28=0,"-",ROUND(SUM('ф.8.1 Журнал учета'!$CJ$29:$CJ$77)/AE28,5))</f>
        <v>-</v>
      </c>
    </row>
    <row r="42" spans="4:31" ht="36.950000000000003" customHeight="1" x14ac:dyDescent="0.25">
      <c r="D42" s="18">
        <v>35.25</v>
      </c>
      <c r="AB42" s="55" t="s">
        <v>951</v>
      </c>
      <c r="AC42" s="72" t="s">
        <v>952</v>
      </c>
      <c r="AD42" s="115" t="str">
        <f>IF(AD29=0,"-",ROUND(SUM('ф.8.1 Журнал учета'!$BK$29:$BK$77)/AD29,5))</f>
        <v>-</v>
      </c>
      <c r="AE42" s="115" t="str">
        <f>IF(AE29=0,"-",ROUND(SUM('ф.8.1 Журнал учета'!$CL$29:$CL$77)/AE29,5))</f>
        <v>-</v>
      </c>
    </row>
    <row r="43" spans="4:31" ht="36.950000000000003" customHeight="1" x14ac:dyDescent="0.25">
      <c r="D43" s="18">
        <v>35.25</v>
      </c>
      <c r="AB43" s="55" t="s">
        <v>953</v>
      </c>
      <c r="AC43" s="72" t="s">
        <v>954</v>
      </c>
      <c r="AD43" s="115">
        <f>IF(AD30=0,"-",ROUND(SUM('ф.8.1 Журнал учета'!$BM$29:$BM$77)/AD30,5))</f>
        <v>0</v>
      </c>
      <c r="AE43" s="115">
        <f>IF(AE30=0,"-",ROUND(SUM('ф.8.1 Журнал учета'!$CN$29:$CN$77)/AE30,5))</f>
        <v>0</v>
      </c>
    </row>
    <row r="44" spans="4:31" ht="36.950000000000003" customHeight="1" x14ac:dyDescent="0.25">
      <c r="D44" s="18">
        <v>35.25</v>
      </c>
      <c r="AB44" s="55" t="s">
        <v>955</v>
      </c>
      <c r="AC44" s="72" t="s">
        <v>956</v>
      </c>
      <c r="AD44" s="115">
        <f>IF(AD31=0,"-",ROUND(SUM('ф.8.1 Журнал учета'!$BO$29:$BO$77)/AD31,5))</f>
        <v>0</v>
      </c>
      <c r="AE44" s="115">
        <f>IF(AE31=0,"-",ROUND(SUM('ф.8.1 Журнал учета'!$CP$29:$CP$77)/AE31,5))</f>
        <v>0</v>
      </c>
    </row>
    <row r="45" spans="4:31" ht="37.35" customHeight="1" x14ac:dyDescent="0.25">
      <c r="D45" s="18">
        <v>35.5</v>
      </c>
      <c r="AB45" s="55" t="s">
        <v>658</v>
      </c>
      <c r="AC45" s="72" t="s">
        <v>957</v>
      </c>
      <c r="AD45" s="111">
        <f>IF(AD27=0,0,SUM('ф.8.1 Журнал учета'!$BH$29:$BH$77)/AD27)</f>
        <v>0</v>
      </c>
      <c r="AE45" s="111">
        <f>IF(AE27=0,0,SUM('ф.8.1 Журнал учета'!$CI$29:$CI$77)/AE27)</f>
        <v>0</v>
      </c>
    </row>
    <row r="46" spans="4:31" ht="33.75" customHeight="1" x14ac:dyDescent="0.25">
      <c r="D46" s="18">
        <v>25.5</v>
      </c>
      <c r="AB46" s="55" t="s">
        <v>958</v>
      </c>
      <c r="AC46" s="72" t="s">
        <v>959</v>
      </c>
      <c r="AD46" s="115" t="str">
        <f>IF(AD28=0,"-",ROUND(SUM('ф.8.1 Журнал учета'!$BJ$29:$BJ$77)/AD28,5))</f>
        <v>-</v>
      </c>
      <c r="AE46" s="115" t="str">
        <f>IF(AE28=0,"-",ROUND(SUM('ф.8.1 Журнал учета'!$CK$29:$CK$77)/AE28,5))</f>
        <v>-</v>
      </c>
    </row>
    <row r="47" spans="4:31" ht="36.950000000000003" customHeight="1" x14ac:dyDescent="0.25">
      <c r="D47" s="18">
        <v>35.25</v>
      </c>
      <c r="AB47" s="55" t="s">
        <v>960</v>
      </c>
      <c r="AC47" s="72" t="s">
        <v>961</v>
      </c>
      <c r="AD47" s="115" t="str">
        <f>IF(AD29=0,"-",ROUND(SUM('ф.8.1 Журнал учета'!$BL$29:$BL$77)/AD29,5))</f>
        <v>-</v>
      </c>
      <c r="AE47" s="115" t="str">
        <f>IF(AE29=0,"-",ROUND(SUM('ф.8.1 Журнал учета'!$CM$29:$CM$77)/AE29,5))</f>
        <v>-</v>
      </c>
    </row>
    <row r="48" spans="4:31" ht="36.950000000000003" customHeight="1" x14ac:dyDescent="0.25">
      <c r="D48" s="18">
        <v>35.25</v>
      </c>
      <c r="AB48" s="55" t="s">
        <v>962</v>
      </c>
      <c r="AC48" s="72" t="s">
        <v>963</v>
      </c>
      <c r="AD48" s="115">
        <f>IF(AD30=0,"-",ROUND(SUM('ф.8.1 Журнал учета'!$BN$29:$BN$77)/AD30,5))</f>
        <v>0</v>
      </c>
      <c r="AE48" s="115">
        <f>IF(AE30=0,"-",ROUND(SUM('ф.8.1 Журнал учета'!$CO$29:$CO$77)/AE30,5))</f>
        <v>0</v>
      </c>
    </row>
    <row r="49" spans="4:32" ht="36.950000000000003" customHeight="1" x14ac:dyDescent="0.25">
      <c r="D49" s="18">
        <v>35.25</v>
      </c>
      <c r="AB49" s="55" t="s">
        <v>964</v>
      </c>
      <c r="AC49" s="72" t="s">
        <v>965</v>
      </c>
      <c r="AD49" s="115">
        <f>IF(AD31=0,"-",ROUND(SUM('ф.8.1 Журнал учета'!$BP$29:$BP$77)/AD31,5))</f>
        <v>0</v>
      </c>
      <c r="AE49" s="115">
        <f>IF(AE31=0,"-",ROUND(SUM('ф.8.1 Журнал учета'!$CQ$29:$CQ$77)/AE31,5))</f>
        <v>0</v>
      </c>
    </row>
    <row r="50" spans="4:32" ht="11.85" customHeight="1" x14ac:dyDescent="0.25">
      <c r="D50" s="18">
        <v>11.25</v>
      </c>
      <c r="AB50" s="252"/>
      <c r="AC50" s="252"/>
    </row>
    <row r="51" spans="4:32" ht="47.25" customHeight="1" x14ac:dyDescent="0.25">
      <c r="D51" s="18">
        <v>45</v>
      </c>
      <c r="AB51" s="84"/>
      <c r="AC51" s="16" t="str">
        <f>IF(LEN(ruk_dol)=0,"",ruk_dol)</f>
        <v>Генеральный директор</v>
      </c>
      <c r="AD51" s="140" t="str">
        <f>IF(LEN(ruk_FIO)=0,"",ruk_FIO)</f>
        <v>Мурадов Сергей Юрьевич</v>
      </c>
    </row>
    <row r="52" spans="4:32" ht="15.75" customHeight="1" x14ac:dyDescent="0.25">
      <c r="D52" s="18">
        <v>15</v>
      </c>
      <c r="AC52" s="86" t="s">
        <v>445</v>
      </c>
      <c r="AD52" s="91" t="s">
        <v>545</v>
      </c>
      <c r="AE52" s="86" t="s">
        <v>546</v>
      </c>
    </row>
    <row r="53" spans="4:32" ht="11.25" hidden="1" customHeight="1" x14ac:dyDescent="0.25">
      <c r="D53" s="19">
        <v>0</v>
      </c>
      <c r="AF53" t="s">
        <v>457</v>
      </c>
    </row>
  </sheetData>
  <sheetProtection formatColumns="0" formatRows="0" insertRows="0" deleteColumns="0" deleteRows="0" sort="0" autoFilter="0"/>
  <mergeCells count="3">
    <mergeCell ref="AB22:AD22"/>
    <mergeCell ref="AB50:AC50"/>
    <mergeCell ref="AB21:AD21"/>
  </mergeCells>
  <pageMargins left="0.67" right="0.51" top="0.47" bottom="0.4" header="0.2" footer="0.2"/>
  <pageSetup paperSize="9" scale="84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7B4B-C047-F2A4-E63A-05460264DB71}">
  <sheetPr>
    <pageSetUpPr fitToPage="1"/>
  </sheetPr>
  <dimension ref="A1:AG47"/>
  <sheetViews>
    <sheetView showGridLines="0" workbookViewId="0">
      <pane xSplit="29" ySplit="26" topLeftCell="AD27" activePane="bottomRight" state="frozen"/>
      <selection pane="topRight" activeCell="AD1" sqref="AD1"/>
      <selection pane="bottomLeft" activeCell="A27" sqref="A27"/>
      <selection pane="bottomRight" activeCell="AA20" sqref="AA20"/>
    </sheetView>
  </sheetViews>
  <sheetFormatPr defaultColWidth="9.140625" defaultRowHeight="11.25" customHeight="1" x14ac:dyDescent="0.25"/>
  <cols>
    <col min="1" max="1" width="9.140625" hidden="1"/>
    <col min="2" max="26" width="8.7109375" hidden="1" customWidth="1"/>
    <col min="27" max="27" width="6" customWidth="1"/>
    <col min="28" max="28" width="6.85546875" customWidth="1"/>
    <col min="29" max="29" width="65.42578125" customWidth="1"/>
    <col min="30" max="30" width="13" customWidth="1"/>
    <col min="31" max="31" width="15.7109375" hidden="1" customWidth="1"/>
    <col min="32" max="33" width="9.140625" hidden="1"/>
  </cols>
  <sheetData>
    <row r="1" spans="4:33" ht="11.25" hidden="1" customHeight="1" x14ac:dyDescent="0.25"/>
    <row r="2" spans="4:33" ht="17.25" hidden="1" customHeight="1" x14ac:dyDescent="0.25">
      <c r="AE2" s="31" t="b">
        <f>REPORT_OWNER="Версия регулятора"</f>
        <v>0</v>
      </c>
    </row>
    <row r="3" spans="4:33" ht="17.25" hidden="1" customHeight="1" x14ac:dyDescent="0.25"/>
    <row r="4" spans="4:33" ht="17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6.86</v>
      </c>
      <c r="AC4" s="18">
        <v>65.430000000000007</v>
      </c>
      <c r="AD4" s="18">
        <v>12.29</v>
      </c>
      <c r="AE4" s="18">
        <v>15</v>
      </c>
      <c r="AF4" s="18">
        <v>0</v>
      </c>
      <c r="AG4" s="19">
        <v>0</v>
      </c>
    </row>
    <row r="5" spans="4:33" ht="17.25" hidden="1" customHeight="1" x14ac:dyDescent="0.25">
      <c r="D5" s="18">
        <v>25</v>
      </c>
    </row>
    <row r="6" spans="4:33" ht="17.25" hidden="1" customHeight="1" x14ac:dyDescent="0.25">
      <c r="D6" s="18">
        <v>25</v>
      </c>
    </row>
    <row r="7" spans="4:33" ht="17.25" hidden="1" customHeight="1" x14ac:dyDescent="0.25">
      <c r="D7" s="18">
        <v>25</v>
      </c>
    </row>
    <row r="8" spans="4:33" ht="17.25" hidden="1" customHeight="1" x14ac:dyDescent="0.25">
      <c r="D8" s="18">
        <v>25</v>
      </c>
    </row>
    <row r="9" spans="4:33" ht="17.25" hidden="1" customHeight="1" x14ac:dyDescent="0.25">
      <c r="D9" s="18">
        <v>25</v>
      </c>
    </row>
    <row r="10" spans="4:33" ht="17.25" hidden="1" customHeight="1" x14ac:dyDescent="0.25">
      <c r="D10" s="18">
        <v>25</v>
      </c>
    </row>
    <row r="11" spans="4:33" ht="17.25" hidden="1" customHeight="1" x14ac:dyDescent="0.25">
      <c r="D11" s="18">
        <v>25</v>
      </c>
    </row>
    <row r="12" spans="4:33" ht="17.25" hidden="1" customHeight="1" x14ac:dyDescent="0.25">
      <c r="D12" s="18">
        <v>25</v>
      </c>
    </row>
    <row r="13" spans="4:33" ht="17.25" hidden="1" customHeight="1" x14ac:dyDescent="0.25">
      <c r="D13" s="18">
        <v>25</v>
      </c>
    </row>
    <row r="14" spans="4:33" ht="17.25" hidden="1" customHeight="1" x14ac:dyDescent="0.25">
      <c r="D14" s="18">
        <v>25</v>
      </c>
    </row>
    <row r="15" spans="4:33" ht="17.25" hidden="1" customHeight="1" x14ac:dyDescent="0.25">
      <c r="D15" s="18">
        <v>25</v>
      </c>
    </row>
    <row r="16" spans="4:33" ht="17.25" hidden="1" customHeight="1" x14ac:dyDescent="0.25">
      <c r="D16" s="18">
        <v>25</v>
      </c>
    </row>
    <row r="17" spans="4:32" ht="17.25" hidden="1" customHeight="1" x14ac:dyDescent="0.25">
      <c r="D17" s="18">
        <v>25</v>
      </c>
    </row>
    <row r="18" spans="4:32" ht="17.25" hidden="1" customHeight="1" x14ac:dyDescent="0.25">
      <c r="D18" s="18">
        <v>25</v>
      </c>
    </row>
    <row r="19" spans="4:32" ht="17.25" hidden="1" customHeight="1" x14ac:dyDescent="0.25">
      <c r="D19" s="18">
        <v>25</v>
      </c>
    </row>
    <row r="20" spans="4:32" ht="15.75" customHeight="1" x14ac:dyDescent="0.25">
      <c r="D20" s="18">
        <v>15</v>
      </c>
    </row>
    <row r="21" spans="4:32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2" ht="59.25" customHeight="1" x14ac:dyDescent="0.25">
      <c r="D22" s="18">
        <v>56.5</v>
      </c>
      <c r="AB22" s="269" t="s">
        <v>966</v>
      </c>
      <c r="AC22" s="269"/>
      <c r="AD22" s="269"/>
    </row>
    <row r="23" spans="4:32" ht="5.45" customHeight="1" x14ac:dyDescent="0.25">
      <c r="D23" s="18">
        <v>5.25</v>
      </c>
    </row>
    <row r="24" spans="4:32" ht="37.9" customHeight="1" x14ac:dyDescent="0.25">
      <c r="D24" s="18">
        <v>36</v>
      </c>
      <c r="AB24" s="55" t="s">
        <v>487</v>
      </c>
      <c r="AC24" s="55" t="s">
        <v>600</v>
      </c>
      <c r="AD24" s="70" t="str">
        <f>IF(PRD="","Не определено",PRD)&amp;" год"</f>
        <v>2023 год</v>
      </c>
      <c r="AE24" s="110" t="str">
        <f>IF(PRD="","Не определено",PRD)&amp;" год"</f>
        <v>2023 год</v>
      </c>
    </row>
    <row r="25" spans="4:32" ht="1.5" customHeight="1" x14ac:dyDescent="0.25">
      <c r="D25" s="18">
        <v>1.5</v>
      </c>
    </row>
    <row r="26" spans="4:32" ht="5.25" hidden="1" customHeight="1" x14ac:dyDescent="0.25">
      <c r="D26" s="18">
        <v>0</v>
      </c>
    </row>
    <row r="27" spans="4:32" ht="38.25" customHeight="1" x14ac:dyDescent="0.25">
      <c r="D27" s="18">
        <v>36.5</v>
      </c>
      <c r="AB27" s="55" t="s">
        <v>58</v>
      </c>
      <c r="AC27" s="72" t="s">
        <v>605</v>
      </c>
      <c r="AD27" s="74">
        <f>AD28+AD29+AD30+AD31</f>
        <v>0</v>
      </c>
      <c r="AE27" s="74">
        <f>SUM(AE28:AE31)</f>
        <v>0</v>
      </c>
      <c r="AF27" s="141"/>
    </row>
    <row r="28" spans="4:32" ht="15.75" customHeight="1" x14ac:dyDescent="0.25">
      <c r="D28" s="18">
        <v>15</v>
      </c>
      <c r="AB28" s="55" t="s">
        <v>149</v>
      </c>
      <c r="AC28" s="72" t="s">
        <v>606</v>
      </c>
      <c r="AD28" s="74">
        <f>'ф.1.3.1 Ср.продолж.'!AD27</f>
        <v>0</v>
      </c>
      <c r="AE28" s="195">
        <f>'ф.1.3.1 Ср.продолж.'!AE27</f>
        <v>0</v>
      </c>
      <c r="AF28" s="141"/>
    </row>
    <row r="29" spans="4:32" ht="15.75" customHeight="1" x14ac:dyDescent="0.25">
      <c r="D29" s="18">
        <v>15</v>
      </c>
      <c r="AB29" s="55" t="s">
        <v>513</v>
      </c>
      <c r="AC29" s="72" t="s">
        <v>943</v>
      </c>
      <c r="AD29" s="74">
        <f>'ф.1.3.1 Ср.продолж.'!AD28</f>
        <v>0</v>
      </c>
      <c r="AE29" s="195">
        <f>'ф.1.3.1 Ср.продолж.'!AE28</f>
        <v>0</v>
      </c>
    </row>
    <row r="30" spans="4:32" ht="15.75" customHeight="1" x14ac:dyDescent="0.25">
      <c r="D30" s="18">
        <v>15</v>
      </c>
      <c r="AB30" s="55" t="s">
        <v>557</v>
      </c>
      <c r="AC30" s="72" t="s">
        <v>608</v>
      </c>
      <c r="AD30" s="74">
        <f>'ф.1.3.1 Ср.продолж.'!AD29</f>
        <v>0</v>
      </c>
      <c r="AE30" s="195">
        <f>'ф.1.3.1 Ср.продолж.'!AE29</f>
        <v>0</v>
      </c>
    </row>
    <row r="31" spans="4:32" ht="15.75" customHeight="1" x14ac:dyDescent="0.25">
      <c r="D31" s="18">
        <v>15</v>
      </c>
      <c r="AB31" s="55" t="s">
        <v>609</v>
      </c>
      <c r="AC31" s="72" t="s">
        <v>610</v>
      </c>
      <c r="AD31" s="74">
        <f>'ф.1.3.1 Ср.продолж.'!AD30</f>
        <v>0</v>
      </c>
      <c r="AE31" s="195">
        <f>'ф.1.3.1 Ср.продолж.'!AE30</f>
        <v>0</v>
      </c>
    </row>
    <row r="32" spans="4:32" ht="35.450000000000003" customHeight="1" x14ac:dyDescent="0.25">
      <c r="D32" s="18">
        <v>33.75</v>
      </c>
      <c r="AB32" s="55" t="s">
        <v>492</v>
      </c>
      <c r="AC32" s="72" t="s">
        <v>967</v>
      </c>
      <c r="AD32" s="111">
        <f>IF(AD27=0,0,SUMPRODUCT('ф.8.1 Журнал учета'!$AJ$29:$AJ$89,'ф.8.1 Журнал учета'!$AN$29:$AN$89,--ISNUMBER(SEARCH("В",'ф.8.1 Журнал учета'!$AI$29:$AI$89)),--ISNUMBER(SEARCH(1,'ф.8.1 Журнал учета'!$BB$29:$BB$89)))/AD27)</f>
        <v>0</v>
      </c>
      <c r="AE32" s="111">
        <f>IF(AE27=0,0,SUMPRODUCT('ф.8.1 Журнал учета'!$BT$29:$BT$89,'ф.8.1 Журнал учета'!$BU$29:$BU$89,--ISNUMBER(SEARCH("В",'ф.8.1 Журнал учета'!$BS$29:$BS$89)),--ISNUMBER(SEARCH(1,'ф.8.1 Журнал учета'!$CD$29:$CD$89)))/AE27)</f>
        <v>0</v>
      </c>
    </row>
    <row r="33" spans="4:33" ht="26.85" customHeight="1" x14ac:dyDescent="0.25">
      <c r="D33" s="18">
        <v>25.5</v>
      </c>
      <c r="AB33" s="55" t="s">
        <v>88</v>
      </c>
      <c r="AC33" s="72" t="s">
        <v>968</v>
      </c>
      <c r="AD33" s="111">
        <f>IF(AD27=0,0,SUMIFS('ф.8.1 Журнал учета'!$AN$29:$AN$89,'ф.8.1 Журнал учета'!$AI$29:$AI$89,"В",'ф.8.1 Журнал учета'!$BB$29:$BB$89,"=1")/AD27)</f>
        <v>0</v>
      </c>
      <c r="AE33" s="111">
        <f>IF(AE27=0,0,SUMIFS('ф.8.1 Журнал учета'!$BU$29:$BU$89,'ф.8.1 Журнал учета'!$BS$29:$BS$89,"В",'ф.8.1 Журнал учета'!$CD$29:$CD$89,"=1")/AE27)</f>
        <v>0</v>
      </c>
    </row>
    <row r="34" spans="4:33" ht="35.450000000000003" customHeight="1" x14ac:dyDescent="0.25">
      <c r="D34" s="18">
        <v>33.75</v>
      </c>
      <c r="AB34" s="55" t="s">
        <v>95</v>
      </c>
      <c r="AC34" s="72" t="s">
        <v>948</v>
      </c>
      <c r="AD34" s="111">
        <f>IF(AD27=0,0,SUM('ф.8.1 Журнал учета'!$BG$29:$BG$77)/AD27)</f>
        <v>0</v>
      </c>
      <c r="AE34" s="111">
        <f>IF(AE27=0,0,SUM('ф.8.1 Журнал учета'!$CH$29:$CH$77)/AE27)</f>
        <v>0</v>
      </c>
    </row>
    <row r="35" spans="4:33" ht="26.85" customHeight="1" x14ac:dyDescent="0.25">
      <c r="D35" s="18">
        <v>25.5</v>
      </c>
      <c r="AB35" s="55" t="s">
        <v>567</v>
      </c>
      <c r="AC35" s="72" t="s">
        <v>950</v>
      </c>
      <c r="AD35" s="115" t="str">
        <f>IF(AD28=0,"-",ROUND(SUM('ф.8.1 Журнал учета'!$BI$29:$BI$77)/AD28,5))</f>
        <v>-</v>
      </c>
      <c r="AE35" s="115" t="str">
        <f>IF(AE28=0,"-",ROUND(SUM('ф.8.1 Журнал учета'!$CJ$29:$CJ$77)/AE28,5))</f>
        <v>-</v>
      </c>
    </row>
    <row r="36" spans="4:33" ht="26.85" customHeight="1" x14ac:dyDescent="0.25">
      <c r="D36" s="18">
        <v>25.5</v>
      </c>
      <c r="AB36" s="55" t="s">
        <v>969</v>
      </c>
      <c r="AC36" s="72" t="s">
        <v>952</v>
      </c>
      <c r="AD36" s="115" t="str">
        <f>IF(AD29=0,"-",ROUND(SUM('ф.8.1 Журнал учета'!$BK$29:$BK$77)/AD29,5))</f>
        <v>-</v>
      </c>
      <c r="AE36" s="115" t="str">
        <f>IF(AE29=0,"-",ROUND(SUM('ф.8.1 Журнал учета'!$CL$29:$CL$77)/AE29,5))</f>
        <v>-</v>
      </c>
    </row>
    <row r="37" spans="4:33" ht="26.85" customHeight="1" x14ac:dyDescent="0.25">
      <c r="D37" s="18">
        <v>25.5</v>
      </c>
      <c r="AB37" s="55" t="s">
        <v>684</v>
      </c>
      <c r="AC37" s="72" t="s">
        <v>954</v>
      </c>
      <c r="AD37" s="115" t="str">
        <f>IF(AD30=0,"-",ROUND(SUM('ф.8.1 Журнал учета'!$BM$29:$BM$77)/AD30,5))</f>
        <v>-</v>
      </c>
      <c r="AE37" s="115" t="str">
        <f>IF(AE30=0,"-",ROUND(SUM('ф.8.1 Журнал учета'!$CN$29:$CN$77)/AE30,5))</f>
        <v>-</v>
      </c>
    </row>
    <row r="38" spans="4:33" ht="26.85" customHeight="1" x14ac:dyDescent="0.25">
      <c r="D38" s="18">
        <v>25.5</v>
      </c>
      <c r="AB38" s="55" t="s">
        <v>681</v>
      </c>
      <c r="AC38" s="72" t="s">
        <v>970</v>
      </c>
      <c r="AD38" s="115" t="str">
        <f>IF(AD31=0,"-",ROUND(SUM('ф.8.1 Журнал учета'!$BO$29:$BO$77)/AD31,5))</f>
        <v>-</v>
      </c>
      <c r="AE38" s="115" t="str">
        <f>IF(AE31=0,"-",ROUND(SUM('ф.8.1 Журнал учета'!$CP$29:$CP$77)/AE31,5))</f>
        <v>-</v>
      </c>
    </row>
    <row r="39" spans="4:33" ht="35.450000000000003" customHeight="1" x14ac:dyDescent="0.25">
      <c r="D39" s="18">
        <v>33.75</v>
      </c>
      <c r="AB39" s="55" t="s">
        <v>103</v>
      </c>
      <c r="AC39" s="72" t="s">
        <v>957</v>
      </c>
      <c r="AD39" s="111">
        <f>IF(AD27=0,0,SUM('ф.8.1 Журнал учета'!$BH$29:$BH$77)/AD27)</f>
        <v>0</v>
      </c>
      <c r="AE39" s="111">
        <f>IF(AE27=0,0,SUM('ф.8.1 Журнал учета'!$CI$29:$CI$77)/AE27)</f>
        <v>0</v>
      </c>
    </row>
    <row r="40" spans="4:33" ht="40.35" customHeight="1" x14ac:dyDescent="0.25">
      <c r="D40" s="18">
        <v>38.5</v>
      </c>
      <c r="AB40" s="55" t="s">
        <v>535</v>
      </c>
      <c r="AC40" s="72" t="s">
        <v>959</v>
      </c>
      <c r="AD40" s="115" t="str">
        <f>IF(AD28=0,"-",ROUND(SUM('ф.8.1 Журнал учета'!$BJ$29:$BJ$77)/AD28,5))</f>
        <v>-</v>
      </c>
      <c r="AE40" s="115" t="str">
        <f>IF(AE28=0,"-",ROUND(SUM('ф.8.1 Журнал учета'!$CK$29:$CK$77)/AE28,5))</f>
        <v>-</v>
      </c>
    </row>
    <row r="41" spans="4:33" ht="26.85" customHeight="1" x14ac:dyDescent="0.25">
      <c r="D41" s="18">
        <v>25.5</v>
      </c>
      <c r="AB41" s="55" t="s">
        <v>595</v>
      </c>
      <c r="AC41" s="72" t="s">
        <v>961</v>
      </c>
      <c r="AD41" s="115" t="str">
        <f>IF(AD29=0,"-",ROUND(SUM('ф.8.1 Журнал учета'!$BL$29:$BL$77)/AD29,5))</f>
        <v>-</v>
      </c>
      <c r="AE41" s="115" t="str">
        <f>IF(AE29=0,"-",ROUND(SUM('ф.8.1 Журнал учета'!$CM$29:$CM$77)/AE29,5))</f>
        <v>-</v>
      </c>
    </row>
    <row r="42" spans="4:33" ht="26.85" customHeight="1" x14ac:dyDescent="0.25">
      <c r="D42" s="18">
        <v>25.5</v>
      </c>
      <c r="AB42" s="55" t="s">
        <v>971</v>
      </c>
      <c r="AC42" s="72" t="s">
        <v>963</v>
      </c>
      <c r="AD42" s="115" t="str">
        <f>IF(AD30=0,"-",ROUND(SUM('ф.8.1 Журнал учета'!$BN$29:$BN$77)/AD30,5))</f>
        <v>-</v>
      </c>
      <c r="AE42" s="115" t="str">
        <f>IF(AE30=0,"-",ROUND(SUM('ф.8.1 Журнал учета'!$CO$29:$CO$77)/AE30,5))</f>
        <v>-</v>
      </c>
    </row>
    <row r="43" spans="4:33" ht="26.85" customHeight="1" x14ac:dyDescent="0.25">
      <c r="D43" s="18">
        <v>25.5</v>
      </c>
      <c r="AB43" s="55" t="s">
        <v>972</v>
      </c>
      <c r="AC43" s="72" t="s">
        <v>973</v>
      </c>
      <c r="AD43" s="115" t="str">
        <f>IF(AD31=0,"-",ROUND(SUM('ф.8.1 Журнал учета'!$BP$29:$BP$77)/AD31,5))</f>
        <v>-</v>
      </c>
      <c r="AE43" s="115" t="str">
        <f>IF(AE31=0,"-",ROUND(SUM('ф.8.1 Журнал учета'!$CQ$29:$CQ$77)/AE31,5))</f>
        <v>-</v>
      </c>
    </row>
    <row r="44" spans="4:33" ht="11.85" customHeight="1" x14ac:dyDescent="0.25">
      <c r="D44" s="18">
        <v>11.25</v>
      </c>
      <c r="AB44" s="252"/>
      <c r="AC44" s="252"/>
    </row>
    <row r="45" spans="4:33" ht="47.25" customHeight="1" x14ac:dyDescent="0.25">
      <c r="D45" s="18">
        <v>45</v>
      </c>
      <c r="AB45" s="84"/>
      <c r="AC45" s="16" t="str">
        <f>IF(LEN(ruk_dol)=0,"",ruk_dol)</f>
        <v>Генеральный директор</v>
      </c>
      <c r="AD45" s="140" t="str">
        <f>IF(LEN(ruk_FIO)=0,"",ruk_FIO)</f>
        <v>Мурадов Сергей Юрьевич</v>
      </c>
    </row>
    <row r="46" spans="4:33" ht="15.75" customHeight="1" x14ac:dyDescent="0.25">
      <c r="D46" s="18">
        <v>15</v>
      </c>
      <c r="AC46" s="86" t="s">
        <v>445</v>
      </c>
      <c r="AD46" s="91" t="s">
        <v>545</v>
      </c>
      <c r="AE46" s="86" t="s">
        <v>546</v>
      </c>
    </row>
    <row r="47" spans="4:33" ht="11.25" hidden="1" customHeight="1" x14ac:dyDescent="0.25">
      <c r="D47" s="19">
        <v>0</v>
      </c>
      <c r="AG47" s="19" t="s">
        <v>457</v>
      </c>
    </row>
  </sheetData>
  <sheetProtection formatColumns="0" formatRows="0" insertRows="0" deleteColumns="0" deleteRows="0" sort="0" autoFilter="0"/>
  <mergeCells count="3">
    <mergeCell ref="AB22:AD22"/>
    <mergeCell ref="AB44:AC44"/>
    <mergeCell ref="AB21:AD21"/>
  </mergeCells>
  <pageMargins left="0.67" right="0.51" top="0.47" bottom="0.4" header="0.2" footer="0.2"/>
  <pageSetup paperSize="9" scale="93" fitToHeight="2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F3D1-E926-04C4-B17D-9234065B614A}">
  <sheetPr>
    <tabColor theme="3" tint="0.79998168889431442"/>
    <pageSetUpPr fitToPage="1"/>
  </sheetPr>
  <dimension ref="A1:AG47"/>
  <sheetViews>
    <sheetView showGridLines="0" view="pageBreakPreview" topLeftCell="AA20" zoomScale="60" zoomScaleNormal="100" workbookViewId="0">
      <selection activeCell="AP29" sqref="AP29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4" customWidth="1"/>
    <col min="29" max="29" width="45.85546875" customWidth="1"/>
    <col min="30" max="30" width="19.85546875" customWidth="1"/>
    <col min="31" max="31" width="19.28515625" customWidth="1"/>
    <col min="32" max="32" width="19.28515625" hidden="1" customWidth="1"/>
    <col min="33" max="33" width="9.140625" hidden="1"/>
  </cols>
  <sheetData>
    <row r="1" spans="4:33" ht="11.25" hidden="1" customHeight="1" x14ac:dyDescent="0.25"/>
    <row r="2" spans="4:33" ht="15" hidden="1" customHeight="1" x14ac:dyDescent="0.25">
      <c r="AF2" s="40" t="b">
        <f>REPORT_OWNER="Версия регулятора"</f>
        <v>0</v>
      </c>
    </row>
    <row r="3" spans="4:33" ht="11.25" hidden="1" customHeight="1" x14ac:dyDescent="0.25"/>
    <row r="4" spans="4:33" ht="11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4</v>
      </c>
      <c r="AC4" s="18">
        <v>45.86</v>
      </c>
      <c r="AD4" s="18">
        <v>19.86</v>
      </c>
      <c r="AE4" s="18">
        <v>18.57</v>
      </c>
      <c r="AF4" s="18">
        <v>18.57</v>
      </c>
      <c r="AG4" s="19">
        <v>0</v>
      </c>
    </row>
    <row r="5" spans="4:33" ht="11.25" hidden="1" customHeight="1" x14ac:dyDescent="0.25">
      <c r="D5" s="18">
        <v>25</v>
      </c>
    </row>
    <row r="6" spans="4:33" ht="11.25" hidden="1" customHeight="1" x14ac:dyDescent="0.25">
      <c r="D6" s="18">
        <v>25</v>
      </c>
    </row>
    <row r="7" spans="4:33" ht="11.25" hidden="1" customHeight="1" x14ac:dyDescent="0.25">
      <c r="D7" s="18">
        <v>25</v>
      </c>
    </row>
    <row r="8" spans="4:33" ht="11.25" hidden="1" customHeight="1" x14ac:dyDescent="0.25">
      <c r="D8" s="18">
        <v>25</v>
      </c>
    </row>
    <row r="9" spans="4:33" ht="11.25" hidden="1" customHeight="1" x14ac:dyDescent="0.25">
      <c r="D9" s="18">
        <v>25</v>
      </c>
    </row>
    <row r="10" spans="4:33" ht="11.25" hidden="1" customHeight="1" x14ac:dyDescent="0.25">
      <c r="D10" s="18">
        <v>25</v>
      </c>
    </row>
    <row r="11" spans="4:33" ht="11.25" hidden="1" customHeight="1" x14ac:dyDescent="0.25">
      <c r="D11" s="18">
        <v>25</v>
      </c>
    </row>
    <row r="12" spans="4:33" ht="11.25" hidden="1" customHeight="1" x14ac:dyDescent="0.25">
      <c r="D12" s="18">
        <v>25</v>
      </c>
    </row>
    <row r="13" spans="4:33" ht="11.25" hidden="1" customHeight="1" x14ac:dyDescent="0.25">
      <c r="D13" s="18">
        <v>25</v>
      </c>
    </row>
    <row r="14" spans="4:33" ht="11.25" hidden="1" customHeight="1" x14ac:dyDescent="0.25">
      <c r="D14" s="18">
        <v>25</v>
      </c>
    </row>
    <row r="15" spans="4:33" ht="11.25" hidden="1" customHeight="1" x14ac:dyDescent="0.25">
      <c r="D15" s="18">
        <v>25</v>
      </c>
    </row>
    <row r="16" spans="4:33" ht="11.25" hidden="1" customHeight="1" x14ac:dyDescent="0.25">
      <c r="D16" s="18">
        <v>25</v>
      </c>
    </row>
    <row r="17" spans="4:32" ht="11.25" hidden="1" customHeight="1" x14ac:dyDescent="0.25">
      <c r="D17" s="18">
        <v>25</v>
      </c>
    </row>
    <row r="18" spans="4:32" ht="11.25" hidden="1" customHeight="1" x14ac:dyDescent="0.25">
      <c r="D18" s="18">
        <v>25</v>
      </c>
    </row>
    <row r="19" spans="4:32" ht="11.25" hidden="1" customHeight="1" x14ac:dyDescent="0.25">
      <c r="D19" s="18">
        <v>25</v>
      </c>
    </row>
    <row r="20" spans="4:32" ht="15.75" customHeight="1" x14ac:dyDescent="0.25">
      <c r="D20" s="18">
        <v>15</v>
      </c>
    </row>
    <row r="21" spans="4:32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2" ht="26.85" customHeight="1" x14ac:dyDescent="0.25">
      <c r="D22" s="18">
        <v>25.5</v>
      </c>
      <c r="AB22" s="269" t="str">
        <f>"Форма 3.1 Отчетные данные для расчета значения показателя качества рассмотрения заявок на технологическое присоединение к сети"</f>
        <v>Форма 3.1 Отчетные данные для расчета значения показателя качества рассмотрения заявок на технологическое присоединение к сети</v>
      </c>
      <c r="AC22" s="269"/>
      <c r="AD22" s="269"/>
      <c r="AE22" s="269"/>
    </row>
    <row r="23" spans="4:32" ht="5.45" customHeight="1" x14ac:dyDescent="0.25">
      <c r="D23" s="18">
        <v>5.25</v>
      </c>
    </row>
    <row r="24" spans="4:32" ht="21.2" customHeight="1" x14ac:dyDescent="0.25">
      <c r="D24" s="18">
        <v>20.25</v>
      </c>
      <c r="AB24" s="55" t="s">
        <v>487</v>
      </c>
      <c r="AC24" s="289" t="s">
        <v>974</v>
      </c>
      <c r="AD24" s="289"/>
      <c r="AE24" s="70" t="str">
        <f>IF(PRD="","Не определено",PRD)&amp;" год"</f>
        <v>2023 год</v>
      </c>
      <c r="AF24" s="110" t="str">
        <f>IF(PRD="","Не определено",PRD)&amp;" год"</f>
        <v>2023 год</v>
      </c>
    </row>
    <row r="25" spans="4:32" ht="63" customHeight="1" x14ac:dyDescent="0.25">
      <c r="D25" s="18">
        <v>60</v>
      </c>
      <c r="AB25" s="70">
        <v>1</v>
      </c>
      <c r="AC25" s="327" t="s">
        <v>975</v>
      </c>
      <c r="AD25" s="327"/>
      <c r="AE25" s="114">
        <v>177</v>
      </c>
      <c r="AF25" s="202">
        <f>AE25</f>
        <v>177</v>
      </c>
    </row>
    <row r="26" spans="4:32" ht="63" customHeight="1" x14ac:dyDescent="0.25">
      <c r="D26" s="18">
        <v>60</v>
      </c>
      <c r="AB26" s="70">
        <v>2</v>
      </c>
      <c r="AC26" s="327" t="s">
        <v>976</v>
      </c>
      <c r="AD26" s="327"/>
      <c r="AE26" s="114">
        <v>0</v>
      </c>
      <c r="AF26" s="202">
        <f>AE26</f>
        <v>0</v>
      </c>
    </row>
    <row r="27" spans="4:32" ht="15.75" customHeight="1" x14ac:dyDescent="0.25">
      <c r="D27" s="18">
        <v>15</v>
      </c>
      <c r="AB27" s="326" t="s">
        <v>977</v>
      </c>
      <c r="AC27" s="326"/>
      <c r="AD27" s="326"/>
      <c r="AE27" s="80">
        <f>MAX(1,AE25-AE26)</f>
        <v>177</v>
      </c>
      <c r="AF27" s="80">
        <f>MAX(1,AF25-AF26)</f>
        <v>177</v>
      </c>
    </row>
    <row r="28" spans="4:32" ht="15.75" customHeight="1" x14ac:dyDescent="0.25">
      <c r="D28" s="18">
        <v>15</v>
      </c>
      <c r="AB28" s="326" t="s">
        <v>978</v>
      </c>
      <c r="AC28" s="326"/>
      <c r="AD28" s="326"/>
      <c r="AE28" s="80">
        <f>IF(AND(PRD&gt;2014,AE25=0),1,AE25/AE27)</f>
        <v>1</v>
      </c>
      <c r="AF28" s="80">
        <f>IF(AND(PRD&gt;2014,AF25=0),1,AF25/AF27)</f>
        <v>1</v>
      </c>
    </row>
    <row r="29" spans="4:32" ht="21.2" customHeight="1" x14ac:dyDescent="0.25">
      <c r="D29" s="18">
        <v>20.25</v>
      </c>
    </row>
    <row r="30" spans="4:32" ht="25.15" customHeight="1" x14ac:dyDescent="0.25">
      <c r="D30" s="18">
        <v>24</v>
      </c>
      <c r="AB30" s="269" t="str">
        <f>"Форма 3.2 Отчетные данные для расчета значения показателя качества исполнения договоров об осуществлении технологического присоединения заявителей к сети"</f>
        <v>Форма 3.2 Отчетные данные для расчета значения показателя качества исполнения договоров об осуществлении технологического присоединения заявителей к сети</v>
      </c>
      <c r="AC30" s="269"/>
      <c r="AD30" s="269"/>
      <c r="AE30" s="269"/>
    </row>
    <row r="31" spans="4:32" ht="1.5" customHeight="1" x14ac:dyDescent="0.25">
      <c r="D31" s="18">
        <v>1.5</v>
      </c>
    </row>
    <row r="32" spans="4:32" ht="11.85" customHeight="1" x14ac:dyDescent="0.25">
      <c r="D32" s="18">
        <v>11.25</v>
      </c>
      <c r="AB32" s="289" t="s">
        <v>487</v>
      </c>
      <c r="AC32" s="289" t="s">
        <v>974</v>
      </c>
      <c r="AD32" s="289"/>
      <c r="AE32" s="293" t="str">
        <f>IF(PRD="","Не определено",PRD)&amp;" год"</f>
        <v>2023 год</v>
      </c>
      <c r="AF32" s="328" t="str">
        <f>IF(PRD="","Не определено",PRD)&amp;" год"</f>
        <v>2023 год</v>
      </c>
    </row>
    <row r="33" spans="4:33" ht="11.85" customHeight="1" x14ac:dyDescent="0.25">
      <c r="D33" s="18">
        <v>11.25</v>
      </c>
      <c r="AB33" s="289"/>
      <c r="AC33" s="289"/>
      <c r="AD33" s="289"/>
      <c r="AE33" s="293"/>
      <c r="AF33" s="328"/>
    </row>
    <row r="34" spans="4:33" ht="48" customHeight="1" x14ac:dyDescent="0.25">
      <c r="D34" s="18">
        <v>45.75</v>
      </c>
      <c r="AB34" s="70">
        <v>1</v>
      </c>
      <c r="AC34" s="327" t="s">
        <v>979</v>
      </c>
      <c r="AD34" s="327"/>
      <c r="AE34" s="114">
        <v>177</v>
      </c>
      <c r="AF34" s="202">
        <f>AE34</f>
        <v>177</v>
      </c>
    </row>
    <row r="35" spans="4:33" ht="64.5" customHeight="1" x14ac:dyDescent="0.25">
      <c r="D35" s="18">
        <v>61.5</v>
      </c>
      <c r="AB35" s="70">
        <v>2</v>
      </c>
      <c r="AC35" s="327" t="s">
        <v>980</v>
      </c>
      <c r="AD35" s="327"/>
      <c r="AE35" s="114">
        <v>0</v>
      </c>
      <c r="AF35" s="202">
        <f>AE35</f>
        <v>0</v>
      </c>
    </row>
    <row r="36" spans="4:33" ht="15.75" customHeight="1" x14ac:dyDescent="0.25">
      <c r="D36" s="18">
        <v>15</v>
      </c>
      <c r="AB36" s="326" t="s">
        <v>981</v>
      </c>
      <c r="AC36" s="326"/>
      <c r="AD36" s="326"/>
      <c r="AE36" s="80">
        <f>MAX(1,AE34-AE35)</f>
        <v>177</v>
      </c>
      <c r="AF36" s="80">
        <f>MAX(1,AF34-AF35)</f>
        <v>177</v>
      </c>
    </row>
    <row r="37" spans="4:33" ht="15.75" customHeight="1" x14ac:dyDescent="0.25">
      <c r="D37" s="18">
        <v>15</v>
      </c>
      <c r="AB37" s="326" t="s">
        <v>982</v>
      </c>
      <c r="AC37" s="326"/>
      <c r="AD37" s="326"/>
      <c r="AE37" s="80">
        <f>IF(AND(PRD&gt;2014,AE34=0),1,AE34/AE36)</f>
        <v>1</v>
      </c>
      <c r="AF37" s="80">
        <f>IF(AND(PRD&gt;2014,AF34=0),1,AF34/AF36)</f>
        <v>1</v>
      </c>
    </row>
    <row r="38" spans="4:33" ht="21.2" customHeight="1" x14ac:dyDescent="0.25">
      <c r="D38" s="18">
        <v>20.25</v>
      </c>
    </row>
    <row r="39" spans="4:33" ht="21.95" customHeight="1" x14ac:dyDescent="0.25">
      <c r="D39" s="18">
        <v>21</v>
      </c>
      <c r="AB39" s="269" t="s">
        <v>983</v>
      </c>
      <c r="AC39" s="269"/>
      <c r="AD39" s="269"/>
      <c r="AE39" s="269"/>
    </row>
    <row r="40" spans="4:33" ht="1.5" customHeight="1" x14ac:dyDescent="0.25">
      <c r="D40" s="18">
        <v>1.5</v>
      </c>
    </row>
    <row r="41" spans="4:33" ht="20.45" customHeight="1" x14ac:dyDescent="0.25">
      <c r="D41" s="18">
        <v>19.5</v>
      </c>
      <c r="AB41" s="293"/>
      <c r="AC41" s="293"/>
      <c r="AD41" s="293"/>
      <c r="AE41" s="70" t="str">
        <f>IF(PRD="","Не определено",PRD)&amp;" год"</f>
        <v>2023 год</v>
      </c>
      <c r="AF41" s="110" t="str">
        <f>IF(PRD="","Не определено",PRD)&amp;" год"</f>
        <v>2023 год</v>
      </c>
    </row>
    <row r="42" spans="4:33" ht="15.75" customHeight="1" x14ac:dyDescent="0.25">
      <c r="D42" s="18">
        <v>15</v>
      </c>
      <c r="AB42" s="329" t="s">
        <v>984</v>
      </c>
      <c r="AC42" s="329"/>
      <c r="AD42" s="329"/>
      <c r="AE42" s="142">
        <f>0.5*AE28+0.5*AE37</f>
        <v>1</v>
      </c>
      <c r="AF42" s="142">
        <f>0.5*AF28+0.5*AF37</f>
        <v>1</v>
      </c>
    </row>
    <row r="43" spans="4:33" ht="11.85" customHeight="1" x14ac:dyDescent="0.25">
      <c r="D43" s="18">
        <v>11.25</v>
      </c>
    </row>
    <row r="44" spans="4:33" ht="47.25" customHeight="1" x14ac:dyDescent="0.25">
      <c r="D44" s="18">
        <v>45</v>
      </c>
      <c r="AC44" s="16" t="str">
        <f>IF(LEN(ruk_dol)=0,"",ruk_dol)</f>
        <v>Генеральный директор</v>
      </c>
      <c r="AD44" s="140" t="str">
        <f>IF(LEN(ruk_FIO)=0,"",ruk_FIO)</f>
        <v>Мурадов Сергей Юрьевич</v>
      </c>
      <c r="AE44" s="143"/>
      <c r="AF44" s="143"/>
    </row>
    <row r="45" spans="4:33" ht="11.85" customHeight="1" x14ac:dyDescent="0.25">
      <c r="D45" s="18">
        <v>11.25</v>
      </c>
      <c r="AC45" s="86" t="s">
        <v>445</v>
      </c>
      <c r="AD45" s="91" t="s">
        <v>545</v>
      </c>
      <c r="AE45" s="144" t="s">
        <v>546</v>
      </c>
      <c r="AF45" s="144" t="s">
        <v>546</v>
      </c>
    </row>
    <row r="46" spans="4:33" ht="11.85" customHeight="1" x14ac:dyDescent="0.25">
      <c r="D46" s="18">
        <v>11.25</v>
      </c>
    </row>
    <row r="47" spans="4:33" ht="11.25" hidden="1" customHeight="1" x14ac:dyDescent="0.25">
      <c r="D47" s="19">
        <v>0</v>
      </c>
      <c r="AG47" t="s">
        <v>457</v>
      </c>
    </row>
  </sheetData>
  <sheetProtection formatColumns="0" formatRows="0" insertRows="0" deleteColumns="0" deleteRows="0" sort="0" autoFilter="0"/>
  <mergeCells count="19">
    <mergeCell ref="AB42:AD42"/>
    <mergeCell ref="AB21:AD21"/>
    <mergeCell ref="AB41:AD41"/>
    <mergeCell ref="AB39:AE39"/>
    <mergeCell ref="AB36:AD36"/>
    <mergeCell ref="AC25:AD25"/>
    <mergeCell ref="AB32:AB33"/>
    <mergeCell ref="AB37:AD37"/>
    <mergeCell ref="AB30:AE30"/>
    <mergeCell ref="AB22:AE22"/>
    <mergeCell ref="AC34:AD34"/>
    <mergeCell ref="AC35:AD35"/>
    <mergeCell ref="AE32:AE33"/>
    <mergeCell ref="AC32:AD33"/>
    <mergeCell ref="AB27:AD27"/>
    <mergeCell ref="AC26:AD26"/>
    <mergeCell ref="AB28:AD28"/>
    <mergeCell ref="AC24:AD24"/>
    <mergeCell ref="AF32:AF33"/>
  </mergeCells>
  <dataValidations count="1">
    <dataValidation type="whole" allowBlank="1" showErrorMessage="1" errorTitle="Ошибка" error="Допускается ввод только неотрицательных целых чисел!" sqref="AE25:AF26 AE34:AF35" xr:uid="{00000000-0002-0000-1200-000000000000}">
      <formula1>0</formula1>
      <formula2>9.99999999999999E+23</formula2>
    </dataValidation>
  </dataValidations>
  <pageMargins left="0.75" right="0.75" top="1" bottom="1" header="0.5" footer="0.5"/>
  <pageSetup paperSize="9" scale="9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AA82-707F-BD05-BDCB-2347A10DC33E}">
  <sheetPr>
    <tabColor theme="3" tint="0.79998168889431442"/>
    <pageSetUpPr fitToPage="1"/>
  </sheetPr>
  <dimension ref="A1:AH68"/>
  <sheetViews>
    <sheetView showGridLines="0" topLeftCell="AA20" workbookViewId="0">
      <selection activeCell="AS29" sqref="AS29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4" customWidth="1"/>
    <col min="29" max="29" width="67.42578125" customWidth="1"/>
    <col min="30" max="30" width="19.7109375" customWidth="1"/>
    <col min="31" max="31" width="13.28515625" customWidth="1"/>
    <col min="32" max="32" width="13.28515625" hidden="1" customWidth="1"/>
    <col min="33" max="33" width="13.85546875" hidden="1" customWidth="1"/>
    <col min="34" max="34" width="9.140625" hidden="1"/>
  </cols>
  <sheetData>
    <row r="1" spans="4:34" ht="11.25" hidden="1" customHeight="1" x14ac:dyDescent="0.25"/>
    <row r="2" spans="4:34" ht="15.75" hidden="1" customHeight="1" x14ac:dyDescent="0.25">
      <c r="AF2" s="145" t="b">
        <f>REPORT_OWNER="Версия регулятора"</f>
        <v>0</v>
      </c>
      <c r="AG2" s="145" t="b">
        <f>REPORT_OWNER="Версия регулятора"</f>
        <v>0</v>
      </c>
    </row>
    <row r="3" spans="4:34" ht="15.75" hidden="1" customHeight="1" x14ac:dyDescent="0.25"/>
    <row r="4" spans="4:34" ht="15.7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4</v>
      </c>
      <c r="AC4" s="18">
        <v>67.430000000000007</v>
      </c>
      <c r="AD4" s="18">
        <v>19</v>
      </c>
      <c r="AE4" s="18">
        <v>12.57</v>
      </c>
      <c r="AF4" s="18">
        <v>12.57</v>
      </c>
      <c r="AG4" s="18">
        <v>13.14</v>
      </c>
      <c r="AH4" s="19">
        <v>0</v>
      </c>
    </row>
    <row r="5" spans="4:34" ht="25.5" hidden="1" customHeight="1" x14ac:dyDescent="0.25">
      <c r="D5" s="18">
        <v>25</v>
      </c>
      <c r="E5" s="18" t="s">
        <v>985</v>
      </c>
      <c r="F5" s="146" t="s">
        <v>986</v>
      </c>
      <c r="G5" s="146" t="s">
        <v>987</v>
      </c>
      <c r="H5" s="146" t="s">
        <v>988</v>
      </c>
    </row>
    <row r="6" spans="4:34" ht="15.75" hidden="1" customHeight="1" x14ac:dyDescent="0.25">
      <c r="D6" s="18">
        <v>25</v>
      </c>
      <c r="E6" s="146" t="s">
        <v>989</v>
      </c>
      <c r="AE6" s="147" t="s">
        <v>432</v>
      </c>
      <c r="AF6" s="148" t="s">
        <v>641</v>
      </c>
    </row>
    <row r="7" spans="4:34" ht="15.75" hidden="1" customHeight="1" x14ac:dyDescent="0.25">
      <c r="D7" s="18">
        <v>25</v>
      </c>
    </row>
    <row r="8" spans="4:34" ht="15.75" hidden="1" customHeight="1" x14ac:dyDescent="0.25">
      <c r="D8" s="18">
        <v>25</v>
      </c>
    </row>
    <row r="9" spans="4:34" ht="15.75" hidden="1" customHeight="1" x14ac:dyDescent="0.25">
      <c r="D9" s="18">
        <v>25</v>
      </c>
    </row>
    <row r="10" spans="4:34" ht="15.75" hidden="1" customHeight="1" x14ac:dyDescent="0.25">
      <c r="D10" s="18">
        <v>25</v>
      </c>
    </row>
    <row r="11" spans="4:34" ht="15.75" hidden="1" customHeight="1" x14ac:dyDescent="0.25">
      <c r="D11" s="18">
        <v>25</v>
      </c>
    </row>
    <row r="12" spans="4:34" ht="15.75" hidden="1" customHeight="1" x14ac:dyDescent="0.25">
      <c r="D12" s="18">
        <v>25</v>
      </c>
    </row>
    <row r="13" spans="4:34" ht="15.75" hidden="1" customHeight="1" x14ac:dyDescent="0.25">
      <c r="D13" s="18">
        <v>25</v>
      </c>
    </row>
    <row r="14" spans="4:34" ht="15.75" hidden="1" customHeight="1" x14ac:dyDescent="0.25">
      <c r="D14" s="18">
        <v>25</v>
      </c>
    </row>
    <row r="15" spans="4:34" ht="15.75" hidden="1" customHeight="1" x14ac:dyDescent="0.25">
      <c r="D15" s="18">
        <v>25</v>
      </c>
    </row>
    <row r="16" spans="4:34" ht="15.75" hidden="1" customHeight="1" x14ac:dyDescent="0.25">
      <c r="D16" s="18">
        <v>25</v>
      </c>
    </row>
    <row r="17" spans="4:32" ht="15.75" hidden="1" customHeight="1" x14ac:dyDescent="0.25">
      <c r="D17" s="18">
        <v>25</v>
      </c>
    </row>
    <row r="18" spans="4:32" ht="15.75" hidden="1" customHeight="1" x14ac:dyDescent="0.25">
      <c r="D18" s="18">
        <v>25</v>
      </c>
    </row>
    <row r="19" spans="4:32" ht="15.75" hidden="1" customHeight="1" x14ac:dyDescent="0.25">
      <c r="D19" s="18">
        <v>25</v>
      </c>
    </row>
    <row r="20" spans="4:32" ht="15.75" customHeight="1" x14ac:dyDescent="0.25">
      <c r="D20" s="18">
        <v>15</v>
      </c>
    </row>
    <row r="21" spans="4:32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2" ht="31.5" customHeight="1" x14ac:dyDescent="0.25">
      <c r="D22" s="18">
        <v>30</v>
      </c>
      <c r="AB22" s="269" t="s">
        <v>990</v>
      </c>
      <c r="AC22" s="269"/>
      <c r="AD22" s="269"/>
      <c r="AE22" s="269"/>
    </row>
    <row r="23" spans="4:32" ht="5.45" customHeight="1" x14ac:dyDescent="0.25">
      <c r="D23" s="18">
        <v>5.25</v>
      </c>
    </row>
    <row r="24" spans="4:32" ht="26.85" customHeight="1" x14ac:dyDescent="0.25">
      <c r="D24" s="18">
        <v>25.5</v>
      </c>
      <c r="AB24" s="70" t="s">
        <v>487</v>
      </c>
      <c r="AC24" s="55" t="s">
        <v>991</v>
      </c>
      <c r="AD24" s="55" t="s">
        <v>992</v>
      </c>
      <c r="AE24" s="70" t="str">
        <f>IF(PRD="","Не определено",PRD)&amp;" год"</f>
        <v>2023 год</v>
      </c>
      <c r="AF24" s="110" t="str">
        <f>IF(PRD="","Не определено",PRD)&amp;" год"</f>
        <v>2023 год</v>
      </c>
    </row>
    <row r="25" spans="4:32" ht="26.85" customHeight="1" x14ac:dyDescent="0.25">
      <c r="D25" s="18">
        <v>25.5</v>
      </c>
      <c r="AB25" s="70">
        <v>1</v>
      </c>
      <c r="AC25" s="72" t="s">
        <v>993</v>
      </c>
      <c r="AD25" s="55" t="s">
        <v>58</v>
      </c>
      <c r="AE25" s="72"/>
      <c r="AF25" s="72"/>
    </row>
    <row r="26" spans="4:32" ht="15.75" customHeight="1" x14ac:dyDescent="0.25">
      <c r="D26" s="18">
        <v>15</v>
      </c>
      <c r="AB26" s="70">
        <v>2</v>
      </c>
      <c r="AC26" s="72" t="s">
        <v>994</v>
      </c>
      <c r="AD26" s="55" t="s">
        <v>95</v>
      </c>
      <c r="AE26" s="72"/>
      <c r="AF26" s="72"/>
    </row>
    <row r="27" spans="4:32" ht="26.85" customHeight="1" x14ac:dyDescent="0.25">
      <c r="D27" s="18">
        <v>25.5</v>
      </c>
      <c r="AB27" s="70">
        <f t="shared" ref="AB27:AB43" si="0">AB26+1</f>
        <v>3</v>
      </c>
      <c r="AC27" s="72" t="s">
        <v>995</v>
      </c>
      <c r="AD27" s="55" t="s">
        <v>492</v>
      </c>
      <c r="AE27" s="111">
        <f>'ф.1.3 Ср.продолж.'!AD27</f>
        <v>0.21620115854333469</v>
      </c>
      <c r="AF27" s="111">
        <f>'ф.1.3 Ср.продолж.'!AE27</f>
        <v>0.21620115854333469</v>
      </c>
    </row>
    <row r="28" spans="4:32" ht="26.85" customHeight="1" x14ac:dyDescent="0.25">
      <c r="D28" s="18">
        <v>25.5</v>
      </c>
      <c r="AB28" s="70">
        <f t="shared" si="0"/>
        <v>4</v>
      </c>
      <c r="AC28" s="72" t="s">
        <v>996</v>
      </c>
      <c r="AD28" s="55" t="s">
        <v>88</v>
      </c>
      <c r="AE28" s="111">
        <f>'ф.1.3 Ср.продолж.'!AD28</f>
        <v>0.18108696454267056</v>
      </c>
      <c r="AF28" s="111">
        <f>'ф.1.3 Ср.продолж.'!AE28</f>
        <v>0.18108696454267056</v>
      </c>
    </row>
    <row r="29" spans="4:32" ht="26.85" customHeight="1" x14ac:dyDescent="0.25">
      <c r="D29" s="18">
        <v>25.5</v>
      </c>
      <c r="AB29" s="70">
        <f t="shared" si="0"/>
        <v>5</v>
      </c>
      <c r="AC29" s="72" t="s">
        <v>997</v>
      </c>
      <c r="AD29" s="55" t="s">
        <v>998</v>
      </c>
      <c r="AE29" s="80">
        <f>'Ф.3.1Ф3.2 ПоказТехприс (Птпр)'!AE28*0.5+'Ф.3.1Ф3.2 ПоказТехприс (Птпр)'!AE37*0.5</f>
        <v>1</v>
      </c>
      <c r="AF29" s="80">
        <f>'Ф.3.1Ф3.2 ПоказТехприс (Птпр)'!AF28*0.5+'Ф.3.1Ф3.2 ПоказТехприс (Птпр)'!AF37*0.5</f>
        <v>1</v>
      </c>
    </row>
    <row r="30" spans="4:32" ht="26.85" customHeight="1" x14ac:dyDescent="0.25">
      <c r="D30" s="18">
        <v>25.5</v>
      </c>
      <c r="AB30" s="70">
        <f t="shared" si="0"/>
        <v>6</v>
      </c>
      <c r="AC30" s="72" t="s">
        <v>999</v>
      </c>
      <c r="AD30" s="55" t="s">
        <v>658</v>
      </c>
      <c r="AE30" s="72"/>
      <c r="AF30" s="72"/>
    </row>
    <row r="31" spans="4:32" ht="35.450000000000003" customHeight="1" x14ac:dyDescent="0.25">
      <c r="D31" s="18">
        <v>33.75</v>
      </c>
      <c r="AB31" s="70">
        <f t="shared" si="0"/>
        <v>7</v>
      </c>
      <c r="AC31" s="72" t="s">
        <v>1000</v>
      </c>
      <c r="AD31" s="55" t="s">
        <v>1001</v>
      </c>
      <c r="AE31" s="72"/>
      <c r="AF31" s="72"/>
    </row>
    <row r="32" spans="4:32" ht="35.450000000000003" customHeight="1" x14ac:dyDescent="0.25">
      <c r="D32" s="18">
        <v>33.75</v>
      </c>
      <c r="F32" s="149" t="s">
        <v>1002</v>
      </c>
      <c r="G32" s="149" t="s">
        <v>984</v>
      </c>
      <c r="H32" s="150" t="s">
        <v>1003</v>
      </c>
      <c r="AB32" s="70">
        <f t="shared" si="0"/>
        <v>8</v>
      </c>
      <c r="AC32" s="72" t="s">
        <v>1004</v>
      </c>
      <c r="AD32" s="55" t="s">
        <v>1001</v>
      </c>
      <c r="AE32" s="151">
        <v>1</v>
      </c>
      <c r="AF32" s="219"/>
    </row>
    <row r="33" spans="4:32" ht="35.450000000000003" customHeight="1" x14ac:dyDescent="0.25">
      <c r="D33" s="18">
        <v>33.75</v>
      </c>
      <c r="AB33" s="70">
        <f t="shared" si="0"/>
        <v>9</v>
      </c>
      <c r="AC33" s="72" t="s">
        <v>1005</v>
      </c>
      <c r="AD33" s="55" t="s">
        <v>1001</v>
      </c>
      <c r="AE33" s="72"/>
      <c r="AF33" s="72"/>
    </row>
    <row r="34" spans="4:32" ht="22.5" customHeight="1" x14ac:dyDescent="0.25">
      <c r="D34" s="18">
        <v>21.5</v>
      </c>
      <c r="AB34" s="70">
        <f t="shared" si="0"/>
        <v>10</v>
      </c>
      <c r="AC34" s="72" t="s">
        <v>1006</v>
      </c>
      <c r="AD34" s="55" t="s">
        <v>1001</v>
      </c>
      <c r="AE34" s="72"/>
      <c r="AF34" s="72"/>
    </row>
    <row r="35" spans="4:32" ht="36.75" customHeight="1" x14ac:dyDescent="0.25">
      <c r="D35" s="18">
        <v>23</v>
      </c>
      <c r="F35" s="149" t="s">
        <v>1007</v>
      </c>
      <c r="G35" s="149" t="s">
        <v>1008</v>
      </c>
      <c r="H35" s="150" t="s">
        <v>1003</v>
      </c>
      <c r="AB35" s="70">
        <f t="shared" si="0"/>
        <v>11</v>
      </c>
      <c r="AC35" s="72" t="s">
        <v>1009</v>
      </c>
      <c r="AD35" s="55" t="s">
        <v>1010</v>
      </c>
      <c r="AE35" s="152">
        <v>2.0000000000000001E-4</v>
      </c>
      <c r="AF35" s="220"/>
    </row>
    <row r="36" spans="4:32" ht="35.450000000000003" customHeight="1" x14ac:dyDescent="0.25">
      <c r="D36" s="18">
        <v>33.75</v>
      </c>
      <c r="F36" s="149" t="s">
        <v>1011</v>
      </c>
      <c r="G36" s="149" t="s">
        <v>1012</v>
      </c>
      <c r="H36" s="150" t="s">
        <v>1003</v>
      </c>
      <c r="AB36" s="70">
        <f t="shared" si="0"/>
        <v>12</v>
      </c>
      <c r="AC36" s="72" t="s">
        <v>1013</v>
      </c>
      <c r="AD36" s="55" t="s">
        <v>1014</v>
      </c>
      <c r="AE36" s="152">
        <v>1.1000000000000001E-3</v>
      </c>
      <c r="AF36" s="220"/>
    </row>
    <row r="37" spans="4:32" ht="23.65" customHeight="1" x14ac:dyDescent="0.25">
      <c r="D37" s="18">
        <v>22.5</v>
      </c>
      <c r="AB37" s="70">
        <f t="shared" si="0"/>
        <v>13</v>
      </c>
      <c r="AC37" s="72" t="s">
        <v>1015</v>
      </c>
      <c r="AD37" s="55" t="s">
        <v>1016</v>
      </c>
      <c r="AE37" s="72"/>
      <c r="AF37" s="72"/>
    </row>
    <row r="38" spans="4:32" ht="23.65" customHeight="1" x14ac:dyDescent="0.25">
      <c r="D38" s="18">
        <v>22.5</v>
      </c>
      <c r="AB38" s="70">
        <f t="shared" si="0"/>
        <v>14</v>
      </c>
      <c r="AC38" s="72" t="s">
        <v>1017</v>
      </c>
      <c r="AD38" s="55" t="s">
        <v>1016</v>
      </c>
      <c r="AE38" s="80">
        <f>IF(AND(AE27=0,AE35=0),0,IF(AE27&gt;AE35*(1+AE52),-1,IF(AE27&lt;=AE35*(1-AE51),1,0)))</f>
        <v>-1</v>
      </c>
      <c r="AF38" s="80">
        <f>IF(AND(AF27=0,AF35=0),0,IF(AF27&gt;AF35*(1+AG52),-1,IF(AF27&lt;=AF35*(1-AG51),1,0)))</f>
        <v>-1</v>
      </c>
    </row>
    <row r="39" spans="4:32" ht="23.65" customHeight="1" x14ac:dyDescent="0.25">
      <c r="D39" s="18">
        <v>22.5</v>
      </c>
      <c r="AB39" s="70">
        <f t="shared" si="0"/>
        <v>15</v>
      </c>
      <c r="AC39" s="72" t="s">
        <v>1018</v>
      </c>
      <c r="AD39" s="55" t="s">
        <v>1016</v>
      </c>
      <c r="AE39" s="80">
        <f>IF(AND(AE28=0,AE36=0),0,IF(AE28&gt;AE36*(1+AE52),-1,IF(AE28&lt;=AE36*(1-AE51),1,0)))</f>
        <v>-1</v>
      </c>
      <c r="AF39" s="80">
        <f>IF(AND(AF28=0,AF36=0),0,IF(AF28&gt;AF36*(1+AG52),-1,IF(AF28&lt;=AF36*(1-AG51),1,0)))</f>
        <v>-1</v>
      </c>
    </row>
    <row r="40" spans="4:32" ht="42.6" customHeight="1" x14ac:dyDescent="0.25">
      <c r="D40" s="18">
        <v>40.5</v>
      </c>
      <c r="AB40" s="70">
        <f t="shared" si="0"/>
        <v>16</v>
      </c>
      <c r="AC40" s="72" t="s">
        <v>1019</v>
      </c>
      <c r="AD40" s="55" t="s">
        <v>1016</v>
      </c>
      <c r="AE40" s="72"/>
      <c r="AF40" s="72"/>
    </row>
    <row r="41" spans="4:32" ht="26.85" customHeight="1" x14ac:dyDescent="0.25">
      <c r="D41" s="18">
        <v>25.5</v>
      </c>
      <c r="AB41" s="70">
        <f t="shared" si="0"/>
        <v>17</v>
      </c>
      <c r="AC41" s="72" t="s">
        <v>1020</v>
      </c>
      <c r="AD41" s="55" t="s">
        <v>1016</v>
      </c>
      <c r="AE41" s="80">
        <f>IF(AE29&gt;=AE32*(1+AE67),-1,IF(AE29&lt;=AE32*(1-AE67),1,0))</f>
        <v>0</v>
      </c>
      <c r="AF41" s="80">
        <f>IF(AF29&gt;=AF32*(1+AG67),-1,IF(AF29&lt;=AF32*(1-AG67),1,0))</f>
        <v>-1</v>
      </c>
    </row>
    <row r="42" spans="4:32" ht="26.85" customHeight="1" x14ac:dyDescent="0.25">
      <c r="D42" s="18">
        <v>25.5</v>
      </c>
      <c r="AB42" s="70">
        <f t="shared" si="0"/>
        <v>18</v>
      </c>
      <c r="AC42" s="72" t="s">
        <v>1021</v>
      </c>
      <c r="AD42" s="55" t="s">
        <v>1016</v>
      </c>
      <c r="AE42" s="153"/>
      <c r="AF42" s="153"/>
    </row>
    <row r="43" spans="4:32" ht="26.85" customHeight="1" x14ac:dyDescent="0.25">
      <c r="D43" s="18">
        <v>25.5</v>
      </c>
      <c r="AB43" s="70">
        <f t="shared" si="0"/>
        <v>19</v>
      </c>
      <c r="AC43" s="72" t="s">
        <v>1022</v>
      </c>
      <c r="AD43" s="55" t="s">
        <v>1016</v>
      </c>
      <c r="AE43" s="154">
        <v>0</v>
      </c>
      <c r="AF43" s="221"/>
    </row>
    <row r="44" spans="4:32" ht="11.85" customHeight="1" x14ac:dyDescent="0.25">
      <c r="D44" s="18">
        <v>11.25</v>
      </c>
    </row>
    <row r="45" spans="4:32" ht="47.25" customHeight="1" x14ac:dyDescent="0.25">
      <c r="D45" s="18">
        <v>45</v>
      </c>
      <c r="AC45" s="16" t="str">
        <f>IF(LEN(ruk_dol)=0,"",ruk_dol)</f>
        <v>Генеральный директор</v>
      </c>
      <c r="AD45" s="140" t="str">
        <f>IF(LEN(ruk_FIO)=0,"",ruk_FIO)</f>
        <v>Мурадов Сергей Юрьевич</v>
      </c>
    </row>
    <row r="46" spans="4:32" ht="11.85" customHeight="1" x14ac:dyDescent="0.25">
      <c r="D46" s="18">
        <v>11.25</v>
      </c>
      <c r="AC46" s="86" t="s">
        <v>445</v>
      </c>
      <c r="AD46" s="91" t="s">
        <v>545</v>
      </c>
      <c r="AE46" s="86" t="s">
        <v>546</v>
      </c>
      <c r="AF46" s="86" t="s">
        <v>546</v>
      </c>
    </row>
    <row r="47" spans="4:32" ht="11.85" customHeight="1" x14ac:dyDescent="0.25">
      <c r="D47" s="18">
        <v>11.25</v>
      </c>
    </row>
    <row r="48" spans="4:32" ht="11.25" hidden="1" customHeight="1" x14ac:dyDescent="0.25">
      <c r="D48" s="18">
        <v>0</v>
      </c>
    </row>
    <row r="49" spans="4:33" ht="11.25" hidden="1" customHeight="1" x14ac:dyDescent="0.25">
      <c r="D49" s="18">
        <v>0</v>
      </c>
    </row>
    <row r="50" spans="4:33" ht="21.2" customHeight="1" x14ac:dyDescent="0.25">
      <c r="D50" s="18">
        <v>20.25</v>
      </c>
      <c r="AC50" s="55" t="s">
        <v>1023</v>
      </c>
      <c r="AD50" s="70" t="str">
        <f>IF(PRD="","Не определено",PRD-1)&amp;" год"</f>
        <v>2022 год</v>
      </c>
      <c r="AE50" s="70" t="str">
        <f>IF(PRD="","Не определено",PRD)&amp;" год"</f>
        <v>2023 год</v>
      </c>
      <c r="AF50" s="110" t="str">
        <f>IF(PRD="","Не определено",PRD-1)&amp;" год"</f>
        <v>2022 год</v>
      </c>
      <c r="AG50" s="110" t="str">
        <f>IF(PRD="","Не определено",PRD)&amp;" год"</f>
        <v>2023 год</v>
      </c>
    </row>
    <row r="51" spans="4:33" ht="15.75" customHeight="1" x14ac:dyDescent="0.25">
      <c r="D51" s="18">
        <v>15</v>
      </c>
      <c r="AC51" s="72" t="s">
        <v>1024</v>
      </c>
      <c r="AD51" s="72"/>
      <c r="AE51" s="111">
        <f>IF(AND(AE53="да",PRD-FIRST_PERIOD_IN_LT+1&lt;=3),0.35,IF(AND(AE53="да",PRD-FIRST_PERIOD_IN_LT+1=4,AD62&gt;35%),0.3,IF(AND(AE53="да",PRD-FIRST_PERIOD_IN_LT+1=4,AD62&lt;35%),0.35,IF(AND(AD62&gt;35%,AD59=0.35),0.3,IF(AD62&gt;35%,MAX(AD59-0.01,0.25),AD59)))))</f>
        <v>0.28999999999999998</v>
      </c>
      <c r="AF51" s="72"/>
      <c r="AG51" s="111">
        <f>IF(AND(AG53="да",PRD-FIRST_PERIOD_IN_LT+1&lt;=3),0.35,IF(AND(AG53="да",PRD-FIRST_PERIOD_IN_LT+1=4,AF62&gt;35%),0.3,IF(AND(AG53="да",PRD-FIRST_PERIOD_IN_LT+1=4,AF62&lt;35%),0.35,IF(AND(AF62&gt;35%,AF59=0.35),0.3,IF(AF62&gt;35%,MAX(AF59-0.01,0.25),AF59)))))</f>
        <v>0</v>
      </c>
    </row>
    <row r="52" spans="4:33" ht="15.75" customHeight="1" x14ac:dyDescent="0.25">
      <c r="D52" s="18">
        <v>15</v>
      </c>
      <c r="AC52" s="72" t="s">
        <v>1025</v>
      </c>
      <c r="AD52" s="72"/>
      <c r="AE52" s="111">
        <f>IF(AND(AE53="да",PRD-FIRST_PERIOD_IN_LT+1&lt;=3),0.35,IF(AND(AE53="да",PRD-FIRST_PERIOD_IN_LT+1=4,AD66&gt;35%),0.3,IF(AND(AE53="да",PRD-FIRST_PERIOD_IN_LT+1=4,AD66&lt;35%),0.35,IF(AND(AD66&gt;35%,AD63=0.35),0.3,IF(AD66&gt;35%,MAX(AD63-0.01,0.25),AD63)))))</f>
        <v>0.28999999999999998</v>
      </c>
      <c r="AF52" s="72"/>
      <c r="AG52" s="111">
        <f>IF(AND(AG53="да",PRD-FIRST_PERIOD_IN_LT+1&lt;=3),0.35,IF(AND(AG53="да",PRD-FIRST_PERIOD_IN_LT+1=4,AF66&gt;35%),0.3,IF(AND(AG53="да",PRD-FIRST_PERIOD_IN_LT+1=4,AF66&lt;35%),0.35,IF(AND(AF66&gt;35%,AF63=0.35),0.3,IF(AF66&gt;35%,MAX(AF63-0.01,0.25),AF63)))))</f>
        <v>0</v>
      </c>
    </row>
    <row r="53" spans="4:33" ht="26.85" customHeight="1" x14ac:dyDescent="0.25">
      <c r="D53" s="18">
        <v>25.5</v>
      </c>
      <c r="AC53" s="72" t="s">
        <v>1026</v>
      </c>
      <c r="AD53" s="72"/>
      <c r="AE53" s="115" t="str">
        <f>FIRST_PERIOD_INDEX</f>
        <v>нет</v>
      </c>
      <c r="AF53" s="72"/>
      <c r="AG53" s="115" t="str">
        <f>FIRST_PERIOD_INDEX</f>
        <v>нет</v>
      </c>
    </row>
    <row r="54" spans="4:33" ht="15.75" customHeight="1" x14ac:dyDescent="0.25">
      <c r="D54" s="18">
        <v>15</v>
      </c>
      <c r="AC54" s="72" t="s">
        <v>1027</v>
      </c>
      <c r="AD54" s="72"/>
      <c r="AE54" s="75">
        <v>5</v>
      </c>
      <c r="AF54" s="72"/>
      <c r="AG54" s="195"/>
    </row>
    <row r="55" spans="4:33" ht="15.75" customHeight="1" x14ac:dyDescent="0.25">
      <c r="D55" s="18">
        <v>15</v>
      </c>
      <c r="AC55" s="72" t="s">
        <v>1028</v>
      </c>
      <c r="AD55" s="93">
        <v>0.25</v>
      </c>
      <c r="AE55" s="72"/>
      <c r="AF55" s="222"/>
      <c r="AG55" s="72"/>
    </row>
    <row r="56" spans="4:33" ht="15.75" customHeight="1" x14ac:dyDescent="0.25">
      <c r="D56" s="18">
        <v>15</v>
      </c>
      <c r="AC56" s="72" t="s">
        <v>1029</v>
      </c>
      <c r="AD56" s="111">
        <f>AE32</f>
        <v>1</v>
      </c>
      <c r="AE56" s="72"/>
      <c r="AF56" s="111">
        <f>AF32</f>
        <v>0</v>
      </c>
      <c r="AG56" s="72"/>
    </row>
    <row r="57" spans="4:33" ht="15.75" customHeight="1" x14ac:dyDescent="0.25">
      <c r="D57" s="18">
        <v>15</v>
      </c>
      <c r="AC57" s="72" t="s">
        <v>1030</v>
      </c>
      <c r="AD57" s="111">
        <f>'Ф.3.1Ф3.2 ПоказТехприс (Птпр)'!AE42</f>
        <v>1</v>
      </c>
      <c r="AE57" s="72"/>
      <c r="AF57" s="111">
        <f>'Ф.3.1Ф3.2 ПоказТехприс (Птпр)'!AF42</f>
        <v>1</v>
      </c>
      <c r="AG57" s="72"/>
    </row>
    <row r="58" spans="4:33" ht="15.75" customHeight="1" x14ac:dyDescent="0.25">
      <c r="D58" s="18">
        <v>15</v>
      </c>
      <c r="AC58" s="72" t="s">
        <v>1031</v>
      </c>
      <c r="AD58" s="155">
        <f>IF(AD56=0,0,IF(AD57/AD56&lt;1,0,1))</f>
        <v>1</v>
      </c>
      <c r="AE58" s="72"/>
      <c r="AF58" s="155">
        <f>IF(AF56=0,0,IF(AF57/AF56&lt;1,0,1))</f>
        <v>0</v>
      </c>
      <c r="AG58" s="72"/>
    </row>
    <row r="59" spans="4:33" ht="15.75" customHeight="1" x14ac:dyDescent="0.25">
      <c r="D59" s="18">
        <v>15</v>
      </c>
      <c r="AC59" s="72" t="s">
        <v>1032</v>
      </c>
      <c r="AD59" s="93">
        <v>0.3</v>
      </c>
      <c r="AE59" s="72"/>
      <c r="AF59" s="222"/>
      <c r="AG59" s="72"/>
    </row>
    <row r="60" spans="4:33" ht="11.85" customHeight="1" x14ac:dyDescent="0.25">
      <c r="D60" s="18">
        <v>11.25</v>
      </c>
      <c r="AC60" s="72" t="s">
        <v>1033</v>
      </c>
      <c r="AD60" s="111">
        <f>AE35</f>
        <v>2.0000000000000001E-4</v>
      </c>
      <c r="AE60" s="72"/>
      <c r="AF60" s="111">
        <f>AF35</f>
        <v>0</v>
      </c>
      <c r="AG60" s="72"/>
    </row>
    <row r="61" spans="4:33" ht="11.85" customHeight="1" x14ac:dyDescent="0.25">
      <c r="D61" s="18">
        <v>11.25</v>
      </c>
      <c r="AC61" s="72" t="s">
        <v>1034</v>
      </c>
      <c r="AD61" s="111">
        <f>AE27</f>
        <v>0.21620115854333469</v>
      </c>
      <c r="AE61" s="72"/>
      <c r="AF61" s="111">
        <f>AF27</f>
        <v>0.21620115854333469</v>
      </c>
      <c r="AG61" s="72"/>
    </row>
    <row r="62" spans="4:33" ht="11.85" customHeight="1" x14ac:dyDescent="0.25">
      <c r="D62" s="18">
        <v>11.25</v>
      </c>
      <c r="AC62" s="72" t="s">
        <v>1035</v>
      </c>
      <c r="AD62" s="156">
        <f>IF(AD60=0,0,AD61/AD60-1)</f>
        <v>1080.0057927166733</v>
      </c>
      <c r="AE62" s="72"/>
      <c r="AF62" s="156">
        <f>IF(AF60=0,0,AF61/AF60-1)</f>
        <v>0</v>
      </c>
      <c r="AG62" s="72"/>
    </row>
    <row r="63" spans="4:33" ht="11.85" customHeight="1" x14ac:dyDescent="0.25">
      <c r="D63" s="18">
        <v>11.25</v>
      </c>
      <c r="AC63" s="72" t="s">
        <v>1036</v>
      </c>
      <c r="AD63" s="93">
        <v>0.3</v>
      </c>
      <c r="AE63" s="72"/>
      <c r="AF63" s="222"/>
      <c r="AG63" s="72"/>
    </row>
    <row r="64" spans="4:33" ht="11.85" customHeight="1" x14ac:dyDescent="0.25">
      <c r="D64" s="18">
        <v>11.25</v>
      </c>
      <c r="AC64" s="72" t="s">
        <v>1037</v>
      </c>
      <c r="AD64" s="111">
        <f>AE36</f>
        <v>1.1000000000000001E-3</v>
      </c>
      <c r="AE64" s="72"/>
      <c r="AF64" s="111">
        <f>AF36</f>
        <v>0</v>
      </c>
      <c r="AG64" s="72"/>
    </row>
    <row r="65" spans="4:34" ht="11.85" customHeight="1" x14ac:dyDescent="0.25">
      <c r="D65" s="18">
        <v>11.25</v>
      </c>
      <c r="AC65" s="72" t="s">
        <v>1038</v>
      </c>
      <c r="AD65" s="111">
        <f>AE28</f>
        <v>0.18108696454267056</v>
      </c>
      <c r="AE65" s="72"/>
      <c r="AF65" s="111">
        <f>AF28</f>
        <v>0.18108696454267056</v>
      </c>
      <c r="AG65" s="72"/>
    </row>
    <row r="66" spans="4:34" ht="11.85" customHeight="1" x14ac:dyDescent="0.25">
      <c r="D66" s="18">
        <v>11.25</v>
      </c>
      <c r="AC66" s="72" t="s">
        <v>1039</v>
      </c>
      <c r="AD66" s="156">
        <f>IF(AD64=0,0,AD65/AD64-1)</f>
        <v>163.6245132206096</v>
      </c>
      <c r="AE66" s="72"/>
      <c r="AF66" s="156">
        <f>IF(AF64=0,0,AF65/AF64-1)</f>
        <v>0</v>
      </c>
      <c r="AG66" s="72"/>
    </row>
    <row r="67" spans="4:34" ht="11.85" customHeight="1" x14ac:dyDescent="0.25">
      <c r="D67" s="18">
        <v>11.25</v>
      </c>
      <c r="AC67" s="72" t="s">
        <v>1040</v>
      </c>
      <c r="AD67" s="72"/>
      <c r="AE67" s="80">
        <f>IF(AND(AE53="да",PRD-FIRST_PERIOD_IN_LT+1&lt;=3),0.35,IF(AND(AE53="да",PRD-FIRST_PERIOD_IN_LT+1=4,AD58=1),0.3,IF(AND(AE53="да",PRD-FIRST_PERIOD_IN_LT+1=4,AD58=0),0.35,IF(AND(AD58=1,AD55=0.35),0.3,IF(AD58=1,MAX(AD55-0.01,0.25),AD55)))))</f>
        <v>0.25</v>
      </c>
      <c r="AF67" s="72"/>
      <c r="AG67" s="80">
        <f>IF(AND(AG53="да",PRD-FIRST_PERIOD_IN_LT+1&lt;=3),0.35,IF(AND(AG53="да",PRD-FIRST_PERIOD_IN_LT+1=4,AF58=1),0.3,IF(AND(AG53="да",PRD-FIRST_PERIOD_IN_LT+1=4,AF58=0),0.35,IF(AND(AF58=1,AF55=0.35),0.3,IF(AF58=1,MAX(AF55-0.01,0.25),AF55)))))</f>
        <v>0</v>
      </c>
    </row>
    <row r="68" spans="4:34" ht="11.25" hidden="1" customHeight="1" x14ac:dyDescent="0.25">
      <c r="D68" s="19">
        <v>0</v>
      </c>
      <c r="AH68" t="s">
        <v>457</v>
      </c>
    </row>
  </sheetData>
  <sheetProtection formatColumns="0" formatRows="0" insertRows="0" deleteColumns="0" deleteRows="0" sort="0" autoFilter="0"/>
  <mergeCells count="2">
    <mergeCell ref="AB22:AE22"/>
    <mergeCell ref="AB21:AD21"/>
  </mergeCells>
  <dataValidations count="2">
    <dataValidation type="decimal" allowBlank="1" showErrorMessage="1" errorTitle="Ошибка" error="Допускается ввод только неотрицательных чисел!" sqref="AE32:AF32 AE35:AF36" xr:uid="{00000000-0002-0000-1300-000000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AG54" xr:uid="{00000000-0002-0000-1300-000001000000}">
      <formula1>0</formula1>
      <formula2>9.99999999999999E+23</formula2>
    </dataValidation>
  </dataValidations>
  <pageMargins left="0.7" right="0.7" top="0.75" bottom="0.75" header="0.3" footer="0.3"/>
  <pageSetup paperSize="9" scale="74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3CB3-10DA-F3FA-7378-63E9DB2665CD}">
  <sheetPr>
    <tabColor rgb="FFC5D9F1"/>
  </sheetPr>
  <dimension ref="A1:AJ88"/>
  <sheetViews>
    <sheetView showGridLines="0" workbookViewId="0">
      <pane xSplit="29" ySplit="26" topLeftCell="AD27" activePane="bottomRight" state="frozen"/>
      <selection pane="topRight" activeCell="AD1" sqref="AD1"/>
      <selection pane="bottomLeft" activeCell="A27" sqref="A27"/>
      <selection pane="bottomRight" activeCell="AA20" sqref="AA20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4" customWidth="1"/>
    <col min="29" max="29" width="67.42578125" customWidth="1"/>
    <col min="30" max="30" width="19.7109375" customWidth="1"/>
    <col min="31" max="31" width="13.28515625" customWidth="1"/>
    <col min="32" max="32" width="13.28515625" hidden="1" customWidth="1"/>
    <col min="33" max="33" width="13.85546875" hidden="1" customWidth="1"/>
    <col min="34" max="35" width="8.42578125" customWidth="1"/>
    <col min="36" max="36" width="9.140625" hidden="1"/>
  </cols>
  <sheetData>
    <row r="1" spans="4:36" ht="11.25" hidden="1" customHeight="1" x14ac:dyDescent="0.25"/>
    <row r="2" spans="4:36" ht="15.75" hidden="1" customHeight="1" x14ac:dyDescent="0.25">
      <c r="AF2" s="145" t="b">
        <f>REPORT_OWNER="Версия регулятора"</f>
        <v>0</v>
      </c>
      <c r="AG2" s="145" t="b">
        <f>REPORT_OWNER="Версия регулятора"</f>
        <v>0</v>
      </c>
    </row>
    <row r="3" spans="4:36" ht="15.75" hidden="1" customHeight="1" x14ac:dyDescent="0.25"/>
    <row r="4" spans="4:36" ht="15.7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4</v>
      </c>
      <c r="AC4" s="18">
        <v>67.430000000000007</v>
      </c>
      <c r="AD4" s="18">
        <v>19</v>
      </c>
      <c r="AE4" s="18">
        <v>12.57</v>
      </c>
      <c r="AF4" s="18">
        <v>12.57</v>
      </c>
      <c r="AG4" s="18">
        <v>13.14</v>
      </c>
      <c r="AH4" s="18">
        <v>8.43</v>
      </c>
      <c r="AI4" s="18">
        <v>8.43</v>
      </c>
      <c r="AJ4" s="19">
        <v>0</v>
      </c>
    </row>
    <row r="5" spans="4:36" ht="15.75" hidden="1" customHeight="1" x14ac:dyDescent="0.25">
      <c r="D5" s="18">
        <v>25</v>
      </c>
    </row>
    <row r="6" spans="4:36" ht="15.75" hidden="1" customHeight="1" x14ac:dyDescent="0.25">
      <c r="D6" s="18">
        <v>25</v>
      </c>
    </row>
    <row r="7" spans="4:36" ht="15.75" hidden="1" customHeight="1" x14ac:dyDescent="0.25">
      <c r="D7" s="18">
        <v>25</v>
      </c>
    </row>
    <row r="8" spans="4:36" ht="15.75" hidden="1" customHeight="1" x14ac:dyDescent="0.25">
      <c r="D8" s="18">
        <v>25</v>
      </c>
    </row>
    <row r="9" spans="4:36" ht="15.75" hidden="1" customHeight="1" x14ac:dyDescent="0.25">
      <c r="D9" s="18">
        <v>25</v>
      </c>
    </row>
    <row r="10" spans="4:36" ht="15.75" hidden="1" customHeight="1" x14ac:dyDescent="0.25">
      <c r="D10" s="18">
        <v>25</v>
      </c>
    </row>
    <row r="11" spans="4:36" ht="15.75" hidden="1" customHeight="1" x14ac:dyDescent="0.25">
      <c r="D11" s="18">
        <v>25</v>
      </c>
    </row>
    <row r="12" spans="4:36" ht="15.75" hidden="1" customHeight="1" x14ac:dyDescent="0.25">
      <c r="D12" s="18">
        <v>25</v>
      </c>
    </row>
    <row r="13" spans="4:36" ht="15.75" hidden="1" customHeight="1" x14ac:dyDescent="0.25">
      <c r="D13" s="18">
        <v>25</v>
      </c>
    </row>
    <row r="14" spans="4:36" ht="15.75" hidden="1" customHeight="1" x14ac:dyDescent="0.25">
      <c r="D14" s="18">
        <v>25</v>
      </c>
    </row>
    <row r="15" spans="4:36" ht="15.75" hidden="1" customHeight="1" x14ac:dyDescent="0.25">
      <c r="D15" s="18">
        <v>25</v>
      </c>
    </row>
    <row r="16" spans="4:36" ht="15.75" hidden="1" customHeight="1" x14ac:dyDescent="0.25">
      <c r="D16" s="18">
        <v>25</v>
      </c>
    </row>
    <row r="17" spans="4:32" ht="15.75" hidden="1" customHeight="1" x14ac:dyDescent="0.25">
      <c r="D17" s="18">
        <v>25</v>
      </c>
    </row>
    <row r="18" spans="4:32" ht="15.75" hidden="1" customHeight="1" x14ac:dyDescent="0.25">
      <c r="D18" s="18">
        <v>25</v>
      </c>
    </row>
    <row r="19" spans="4:32" ht="15.75" hidden="1" customHeight="1" x14ac:dyDescent="0.25">
      <c r="D19" s="18">
        <v>25</v>
      </c>
    </row>
    <row r="20" spans="4:32" ht="15.75" customHeight="1" x14ac:dyDescent="0.25">
      <c r="D20" s="18">
        <v>15</v>
      </c>
    </row>
    <row r="21" spans="4:32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2" ht="31.5" customHeight="1" x14ac:dyDescent="0.25">
      <c r="D22" s="18">
        <v>30</v>
      </c>
      <c r="AB22" s="269" t="s">
        <v>990</v>
      </c>
      <c r="AC22" s="269"/>
      <c r="AD22" s="269"/>
      <c r="AE22" s="269"/>
    </row>
    <row r="23" spans="4:32" ht="5.45" customHeight="1" x14ac:dyDescent="0.25">
      <c r="D23" s="18">
        <v>5.25</v>
      </c>
    </row>
    <row r="24" spans="4:32" ht="26.85" customHeight="1" x14ac:dyDescent="0.25">
      <c r="D24" s="18">
        <v>25.5</v>
      </c>
      <c r="AB24" s="70" t="s">
        <v>487</v>
      </c>
      <c r="AC24" s="55" t="s">
        <v>991</v>
      </c>
      <c r="AD24" s="55" t="s">
        <v>992</v>
      </c>
      <c r="AE24" s="70" t="str">
        <f>IF(PRD="","Не определено",PRD)&amp;" год"</f>
        <v>2023 год</v>
      </c>
      <c r="AF24" s="110" t="str">
        <f>IF(PRD="","Не определено",PRD)&amp;" год"</f>
        <v>2023 год</v>
      </c>
    </row>
    <row r="25" spans="4:32" ht="26.85" customHeight="1" x14ac:dyDescent="0.25">
      <c r="D25" s="18">
        <v>25.5</v>
      </c>
      <c r="AB25" s="70">
        <v>1</v>
      </c>
      <c r="AC25" s="72" t="s">
        <v>993</v>
      </c>
      <c r="AD25" s="55" t="s">
        <v>58</v>
      </c>
      <c r="AE25" s="72"/>
      <c r="AF25" s="72"/>
    </row>
    <row r="26" spans="4:32" ht="15.75" customHeight="1" x14ac:dyDescent="0.25">
      <c r="D26" s="18">
        <v>15</v>
      </c>
      <c r="AB26" s="70">
        <v>2</v>
      </c>
      <c r="AC26" s="72" t="s">
        <v>994</v>
      </c>
      <c r="AD26" s="55" t="s">
        <v>95</v>
      </c>
      <c r="AE26" s="72"/>
      <c r="AF26" s="72"/>
    </row>
    <row r="27" spans="4:32" ht="26.85" customHeight="1" x14ac:dyDescent="0.25">
      <c r="D27" s="18">
        <v>25.5</v>
      </c>
      <c r="AB27" s="55" t="s">
        <v>562</v>
      </c>
      <c r="AC27" s="72" t="s">
        <v>1041</v>
      </c>
      <c r="AD27" s="55" t="s">
        <v>492</v>
      </c>
      <c r="AE27" s="111" t="str">
        <f>'ф.1.3.1 Ср.продолж.'!AD31</f>
        <v>-</v>
      </c>
      <c r="AF27" s="111" t="str">
        <f>'ф.1.3.1 Ср.продолж.'!AE31</f>
        <v>-</v>
      </c>
    </row>
    <row r="28" spans="4:32" ht="26.85" customHeight="1" x14ac:dyDescent="0.25">
      <c r="D28" s="18">
        <v>25.5</v>
      </c>
      <c r="AB28" s="55" t="s">
        <v>564</v>
      </c>
      <c r="AC28" s="72" t="s">
        <v>1042</v>
      </c>
      <c r="AD28" s="55" t="s">
        <v>492</v>
      </c>
      <c r="AE28" s="111" t="str">
        <f>'ф.1.3.1 Ср.продолж.'!AD32</f>
        <v>-</v>
      </c>
      <c r="AF28" s="111" t="str">
        <f>'ф.1.3.1 Ср.продолж.'!AE32</f>
        <v>-</v>
      </c>
    </row>
    <row r="29" spans="4:32" ht="26.85" customHeight="1" x14ac:dyDescent="0.25">
      <c r="D29" s="18">
        <v>25.5</v>
      </c>
      <c r="AB29" s="55" t="s">
        <v>1043</v>
      </c>
      <c r="AC29" s="72" t="s">
        <v>1044</v>
      </c>
      <c r="AD29" s="55" t="s">
        <v>492</v>
      </c>
      <c r="AE29" s="111" t="str">
        <f>'ф.1.3.1 Ср.продолж.'!AD33</f>
        <v>-</v>
      </c>
      <c r="AF29" s="111" t="str">
        <f>'ф.1.3.1 Ср.продолж.'!AE33</f>
        <v>-</v>
      </c>
    </row>
    <row r="30" spans="4:32" ht="26.85" customHeight="1" x14ac:dyDescent="0.25">
      <c r="D30" s="18">
        <v>25.5</v>
      </c>
      <c r="AB30" s="55" t="s">
        <v>1045</v>
      </c>
      <c r="AC30" s="72" t="s">
        <v>1046</v>
      </c>
      <c r="AD30" s="55" t="s">
        <v>492</v>
      </c>
      <c r="AE30" s="111" t="str">
        <f>'ф.1.3.1 Ср.продолж.'!AD34</f>
        <v>-</v>
      </c>
      <c r="AF30" s="111" t="str">
        <f>'ф.1.3.1 Ср.продолж.'!AE34</f>
        <v>-</v>
      </c>
    </row>
    <row r="31" spans="4:32" ht="26.85" customHeight="1" x14ac:dyDescent="0.25">
      <c r="D31" s="18">
        <v>25.5</v>
      </c>
      <c r="AB31" s="55" t="s">
        <v>567</v>
      </c>
      <c r="AC31" s="72" t="s">
        <v>1047</v>
      </c>
      <c r="AD31" s="55" t="s">
        <v>88</v>
      </c>
      <c r="AE31" s="111" t="str">
        <f>'ф.1.3.1 Ср.продолж.'!AD35</f>
        <v>-</v>
      </c>
      <c r="AF31" s="111" t="str">
        <f>'ф.1.3.1 Ср.продолж.'!AE35</f>
        <v>-</v>
      </c>
    </row>
    <row r="32" spans="4:32" ht="26.85" customHeight="1" x14ac:dyDescent="0.25">
      <c r="D32" s="18">
        <v>25.5</v>
      </c>
      <c r="AB32" s="55" t="s">
        <v>969</v>
      </c>
      <c r="AC32" s="72" t="s">
        <v>1048</v>
      </c>
      <c r="AD32" s="55" t="s">
        <v>88</v>
      </c>
      <c r="AE32" s="111" t="str">
        <f>'ф.1.3.1 Ср.продолж.'!AD36</f>
        <v>-</v>
      </c>
      <c r="AF32" s="111" t="str">
        <f>'ф.1.3.1 Ср.продолж.'!AE36</f>
        <v>-</v>
      </c>
    </row>
    <row r="33" spans="4:35" ht="26.85" customHeight="1" x14ac:dyDescent="0.25">
      <c r="D33" s="18">
        <v>25.5</v>
      </c>
      <c r="AB33" s="55" t="s">
        <v>684</v>
      </c>
      <c r="AC33" s="72" t="s">
        <v>1049</v>
      </c>
      <c r="AD33" s="55" t="s">
        <v>88</v>
      </c>
      <c r="AE33" s="111" t="str">
        <f>'ф.1.3.1 Ср.продолж.'!AD37</f>
        <v>-</v>
      </c>
      <c r="AF33" s="111" t="str">
        <f>'ф.1.3.1 Ср.продолж.'!AE37</f>
        <v>-</v>
      </c>
    </row>
    <row r="34" spans="4:35" ht="26.85" customHeight="1" x14ac:dyDescent="0.25">
      <c r="D34" s="18">
        <v>25.5</v>
      </c>
      <c r="AB34" s="55" t="s">
        <v>681</v>
      </c>
      <c r="AC34" s="72" t="s">
        <v>1050</v>
      </c>
      <c r="AD34" s="55" t="s">
        <v>88</v>
      </c>
      <c r="AE34" s="111" t="str">
        <f>'ф.1.3.1 Ср.продолж.'!AD38</f>
        <v>-</v>
      </c>
      <c r="AF34" s="111" t="str">
        <f>'ф.1.3.1 Ср.продолж.'!AE38</f>
        <v>-</v>
      </c>
    </row>
    <row r="35" spans="4:35" ht="26.85" customHeight="1" x14ac:dyDescent="0.25">
      <c r="D35" s="18">
        <v>25.5</v>
      </c>
      <c r="AB35" s="70">
        <v>5</v>
      </c>
      <c r="AC35" s="72" t="s">
        <v>997</v>
      </c>
      <c r="AD35" s="55" t="s">
        <v>998</v>
      </c>
      <c r="AE35" s="80">
        <f>'Ф.3.1Ф3.2 ПоказТехприс (Птпр)'!AE28*0.5+'Ф.3.1Ф3.2 ПоказТехприс (Птпр)'!AE37*0.5</f>
        <v>1</v>
      </c>
      <c r="AF35" s="80">
        <f>'Ф.3.1Ф3.2 ПоказТехприс (Птпр)'!AF28*0.5+'Ф.3.1Ф3.2 ПоказТехприс (Птпр)'!AF37*0.5</f>
        <v>1</v>
      </c>
    </row>
    <row r="36" spans="4:35" ht="26.85" customHeight="1" x14ac:dyDescent="0.25">
      <c r="D36" s="18">
        <v>25.5</v>
      </c>
      <c r="AB36" s="70">
        <v>6</v>
      </c>
      <c r="AC36" s="72" t="s">
        <v>999</v>
      </c>
      <c r="AD36" s="55" t="s">
        <v>658</v>
      </c>
      <c r="AE36" s="72"/>
      <c r="AF36" s="72"/>
    </row>
    <row r="37" spans="4:35" ht="35.450000000000003" customHeight="1" x14ac:dyDescent="0.25">
      <c r="D37" s="18">
        <v>33.75</v>
      </c>
      <c r="AB37" s="70">
        <v>7</v>
      </c>
      <c r="AC37" s="72" t="s">
        <v>1000</v>
      </c>
      <c r="AD37" s="55" t="s">
        <v>1001</v>
      </c>
      <c r="AE37" s="72"/>
      <c r="AF37" s="72"/>
    </row>
    <row r="38" spans="4:35" ht="35.450000000000003" customHeight="1" x14ac:dyDescent="0.25">
      <c r="D38" s="18">
        <v>33.75</v>
      </c>
      <c r="AB38" s="70">
        <v>8</v>
      </c>
      <c r="AC38" s="72" t="s">
        <v>1004</v>
      </c>
      <c r="AD38" s="55" t="s">
        <v>1001</v>
      </c>
      <c r="AE38" s="151"/>
      <c r="AF38" s="219"/>
    </row>
    <row r="39" spans="4:35" ht="35.450000000000003" customHeight="1" x14ac:dyDescent="0.25">
      <c r="D39" s="18">
        <v>33.75</v>
      </c>
      <c r="AB39" s="70">
        <v>9</v>
      </c>
      <c r="AC39" s="72" t="s">
        <v>1005</v>
      </c>
      <c r="AD39" s="55" t="s">
        <v>1001</v>
      </c>
      <c r="AE39" s="72"/>
      <c r="AF39" s="72"/>
    </row>
    <row r="40" spans="4:35" ht="22.5" customHeight="1" x14ac:dyDescent="0.25">
      <c r="D40" s="18">
        <v>21.5</v>
      </c>
      <c r="AB40" s="70">
        <v>10</v>
      </c>
      <c r="AC40" s="72" t="s">
        <v>1006</v>
      </c>
      <c r="AD40" s="55" t="s">
        <v>1001</v>
      </c>
      <c r="AE40" s="72"/>
      <c r="AF40" s="72"/>
    </row>
    <row r="41" spans="4:35" ht="24.2" customHeight="1" x14ac:dyDescent="0.25">
      <c r="D41" s="18">
        <v>23</v>
      </c>
      <c r="AB41" s="55" t="s">
        <v>958</v>
      </c>
      <c r="AC41" s="72" t="s">
        <v>1051</v>
      </c>
      <c r="AD41" s="55" t="s">
        <v>1010</v>
      </c>
      <c r="AE41" s="152"/>
      <c r="AF41" s="220"/>
      <c r="AH41" s="18">
        <f t="shared" ref="AH41:AI48" si="0">IF(AE41=0,0,1)</f>
        <v>0</v>
      </c>
      <c r="AI41" s="18">
        <f t="shared" si="0"/>
        <v>0</v>
      </c>
    </row>
    <row r="42" spans="4:35" ht="24.2" customHeight="1" x14ac:dyDescent="0.25">
      <c r="D42" s="18">
        <v>23</v>
      </c>
      <c r="AB42" s="55" t="s">
        <v>960</v>
      </c>
      <c r="AC42" s="72" t="s">
        <v>1052</v>
      </c>
      <c r="AD42" s="55" t="s">
        <v>1010</v>
      </c>
      <c r="AE42" s="152"/>
      <c r="AF42" s="220"/>
      <c r="AH42" s="18">
        <f t="shared" si="0"/>
        <v>0</v>
      </c>
      <c r="AI42" s="18">
        <f t="shared" si="0"/>
        <v>0</v>
      </c>
    </row>
    <row r="43" spans="4:35" ht="24.2" customHeight="1" x14ac:dyDescent="0.25">
      <c r="D43" s="18">
        <v>23</v>
      </c>
      <c r="AB43" s="55" t="s">
        <v>962</v>
      </c>
      <c r="AC43" s="72" t="s">
        <v>1053</v>
      </c>
      <c r="AD43" s="55" t="s">
        <v>1010</v>
      </c>
      <c r="AE43" s="152"/>
      <c r="AF43" s="220"/>
      <c r="AH43" s="18">
        <f t="shared" si="0"/>
        <v>0</v>
      </c>
      <c r="AI43" s="18">
        <f t="shared" si="0"/>
        <v>0</v>
      </c>
    </row>
    <row r="44" spans="4:35" ht="24.2" customHeight="1" x14ac:dyDescent="0.25">
      <c r="D44" s="18">
        <v>23</v>
      </c>
      <c r="AB44" s="55" t="s">
        <v>964</v>
      </c>
      <c r="AC44" s="72" t="s">
        <v>1054</v>
      </c>
      <c r="AD44" s="55" t="s">
        <v>1010</v>
      </c>
      <c r="AE44" s="152"/>
      <c r="AF44" s="220"/>
      <c r="AH44" s="18">
        <f t="shared" si="0"/>
        <v>0</v>
      </c>
      <c r="AI44" s="18">
        <f t="shared" si="0"/>
        <v>0</v>
      </c>
    </row>
    <row r="45" spans="4:35" ht="35.450000000000003" customHeight="1" x14ac:dyDescent="0.25">
      <c r="D45" s="18">
        <v>33.75</v>
      </c>
      <c r="AB45" s="55" t="s">
        <v>1055</v>
      </c>
      <c r="AC45" s="72" t="s">
        <v>1056</v>
      </c>
      <c r="AD45" s="55" t="s">
        <v>1014</v>
      </c>
      <c r="AE45" s="152"/>
      <c r="AF45" s="220"/>
      <c r="AH45" s="18">
        <f t="shared" si="0"/>
        <v>0</v>
      </c>
      <c r="AI45" s="18">
        <f t="shared" si="0"/>
        <v>0</v>
      </c>
    </row>
    <row r="46" spans="4:35" ht="35.450000000000003" customHeight="1" x14ac:dyDescent="0.25">
      <c r="D46" s="18">
        <v>33.75</v>
      </c>
      <c r="AB46" s="55" t="s">
        <v>1057</v>
      </c>
      <c r="AC46" s="72" t="s">
        <v>1058</v>
      </c>
      <c r="AD46" s="55" t="s">
        <v>1014</v>
      </c>
      <c r="AE46" s="152"/>
      <c r="AF46" s="220"/>
      <c r="AH46" s="18">
        <f t="shared" si="0"/>
        <v>0</v>
      </c>
      <c r="AI46" s="18">
        <f t="shared" si="0"/>
        <v>0</v>
      </c>
    </row>
    <row r="47" spans="4:35" ht="35.450000000000003" customHeight="1" x14ac:dyDescent="0.25">
      <c r="D47" s="18">
        <v>33.75</v>
      </c>
      <c r="AB47" s="55" t="s">
        <v>1059</v>
      </c>
      <c r="AC47" s="72" t="s">
        <v>1060</v>
      </c>
      <c r="AD47" s="55" t="s">
        <v>1014</v>
      </c>
      <c r="AE47" s="152"/>
      <c r="AF47" s="220"/>
      <c r="AH47" s="18">
        <f t="shared" si="0"/>
        <v>0</v>
      </c>
      <c r="AI47" s="18">
        <f t="shared" si="0"/>
        <v>0</v>
      </c>
    </row>
    <row r="48" spans="4:35" ht="35.450000000000003" customHeight="1" x14ac:dyDescent="0.25">
      <c r="D48" s="18">
        <v>33.75</v>
      </c>
      <c r="AB48" s="55" t="s">
        <v>1061</v>
      </c>
      <c r="AC48" s="72" t="s">
        <v>1062</v>
      </c>
      <c r="AD48" s="55" t="s">
        <v>1014</v>
      </c>
      <c r="AE48" s="152"/>
      <c r="AF48" s="220"/>
      <c r="AH48" s="18">
        <f t="shared" si="0"/>
        <v>0</v>
      </c>
      <c r="AI48" s="18">
        <f t="shared" si="0"/>
        <v>0</v>
      </c>
    </row>
    <row r="49" spans="4:32" ht="23.65" customHeight="1" x14ac:dyDescent="0.25">
      <c r="D49" s="18">
        <v>22.5</v>
      </c>
      <c r="AB49" s="70">
        <v>13</v>
      </c>
      <c r="AC49" s="72" t="s">
        <v>1015</v>
      </c>
      <c r="AD49" s="55" t="s">
        <v>1016</v>
      </c>
      <c r="AE49" s="72"/>
      <c r="AF49" s="72"/>
    </row>
    <row r="50" spans="4:32" ht="23.65" customHeight="1" x14ac:dyDescent="0.25">
      <c r="D50" s="18">
        <v>22.5</v>
      </c>
      <c r="AB50" s="70">
        <v>14</v>
      </c>
      <c r="AC50" s="72" t="s">
        <v>1017</v>
      </c>
      <c r="AD50" s="55" t="s">
        <v>1016</v>
      </c>
      <c r="AE50" s="80">
        <f>IFERROR(SUM(AE51:AE54)/SUM(AH41:AH44),0)</f>
        <v>0</v>
      </c>
      <c r="AF50" s="80">
        <f>IFERROR(SUM(AF51:AF54)/SUM(AI41:AI44),0)</f>
        <v>0</v>
      </c>
    </row>
    <row r="51" spans="4:32" ht="29.85" customHeight="1" x14ac:dyDescent="0.25">
      <c r="D51" s="18">
        <v>28.5</v>
      </c>
      <c r="AB51" s="70" t="s">
        <v>1063</v>
      </c>
      <c r="AC51" s="72" t="s">
        <v>1064</v>
      </c>
      <c r="AD51" s="55" t="s">
        <v>1016</v>
      </c>
      <c r="AE51" s="80">
        <f>IF(AND(AE27="-",AE41=0),0,IF(AE27&gt;AE41*(1+$AE$72),-1,IF(AE27&lt;=AE41*(1-$AE$71),1,0)))</f>
        <v>0</v>
      </c>
      <c r="AF51" s="80">
        <f>IF(AND(AF27="-",AF41=0),0,IF(AF27&gt;AF41*(1+$AG$72),-1,IF(AF27&lt;=AF41*(1-$AG$71),1,0)))</f>
        <v>0</v>
      </c>
    </row>
    <row r="52" spans="4:32" ht="29.85" customHeight="1" x14ac:dyDescent="0.25">
      <c r="D52" s="18">
        <v>28.5</v>
      </c>
      <c r="AB52" s="70" t="s">
        <v>1065</v>
      </c>
      <c r="AC52" s="72" t="s">
        <v>1066</v>
      </c>
      <c r="AD52" s="55" t="s">
        <v>1016</v>
      </c>
      <c r="AE52" s="80">
        <f>IF(AND(AE28="-",AE42=0),0,IF(AE28&gt;AE42*(1+$AE$72),-1,IF(AE28&lt;=AE42*(1-$AE$71),1,0)))</f>
        <v>0</v>
      </c>
      <c r="AF52" s="80">
        <f>IF(AND(AF28="-",AF42=0),0,IF(AF28&gt;AF42*(1+$AG$72),-1,IF(AF28&lt;=AF42*(1-$AG$71),1,0)))</f>
        <v>0</v>
      </c>
    </row>
    <row r="53" spans="4:32" ht="29.85" customHeight="1" x14ac:dyDescent="0.25">
      <c r="D53" s="18">
        <v>28.5</v>
      </c>
      <c r="AB53" s="70" t="s">
        <v>1067</v>
      </c>
      <c r="AC53" s="72" t="s">
        <v>1068</v>
      </c>
      <c r="AD53" s="55" t="s">
        <v>1016</v>
      </c>
      <c r="AE53" s="80">
        <f>IF(AND(AE29="-",AE43=0),0,IF(AE29&gt;AE43*(1+$AE$72),-1,IF(AE29&lt;=AE43*(1-$AE$71),1,0)))</f>
        <v>0</v>
      </c>
      <c r="AF53" s="80">
        <f>IF(AND(AF29="-",AF43=0),0,IF(AF29&gt;AF43*(1+$AG$72),-1,IF(AF29&lt;=AF43*(1-$AG$71),1,0)))</f>
        <v>0</v>
      </c>
    </row>
    <row r="54" spans="4:32" ht="29.85" customHeight="1" x14ac:dyDescent="0.25">
      <c r="D54" s="18">
        <v>28.5</v>
      </c>
      <c r="AB54" s="70" t="s">
        <v>1069</v>
      </c>
      <c r="AC54" s="72" t="s">
        <v>1070</v>
      </c>
      <c r="AD54" s="55" t="s">
        <v>1016</v>
      </c>
      <c r="AE54" s="80">
        <f>IF(AND(AE30="-",AE44=0),0,IF(AE30&gt;AE44*(1+$AE$72),-1,IF(AE30&lt;=AE44*(1-$AE$71),1,0)))</f>
        <v>0</v>
      </c>
      <c r="AF54" s="80">
        <f>IF(AND(AF30="-",AF44=0),0,IF(AF30&gt;AF44*(1+$AG$72),-1,IF(AF30&lt;=AF44*(1-$AG$71),1,0)))</f>
        <v>0</v>
      </c>
    </row>
    <row r="55" spans="4:32" ht="23.65" customHeight="1" x14ac:dyDescent="0.25">
      <c r="D55" s="18">
        <v>22.5</v>
      </c>
      <c r="AB55" s="70">
        <v>15</v>
      </c>
      <c r="AC55" s="72" t="s">
        <v>1018</v>
      </c>
      <c r="AD55" s="55" t="s">
        <v>1016</v>
      </c>
      <c r="AE55" s="80">
        <f>IFERROR(SUM(AE56:AE59)/SUM(AH45:AH48),0)</f>
        <v>0</v>
      </c>
      <c r="AF55" s="80">
        <f>IFERROR(SUM(AF56:AF59)/SUM(AI45:AI48),0)</f>
        <v>0</v>
      </c>
    </row>
    <row r="56" spans="4:32" ht="29.85" customHeight="1" x14ac:dyDescent="0.25">
      <c r="D56" s="18">
        <v>28.5</v>
      </c>
      <c r="AB56" s="55" t="s">
        <v>1071</v>
      </c>
      <c r="AC56" s="72" t="s">
        <v>1072</v>
      </c>
      <c r="AD56" s="55" t="s">
        <v>1016</v>
      </c>
      <c r="AE56" s="80">
        <f>IF(AND(AE31="-",AE45=0),0,IF(AE31&gt;AE45*(1+$AE$72),-1,IF(AE31&lt;=AE45*(1-$AE$71),1,0)))</f>
        <v>0</v>
      </c>
      <c r="AF56" s="80">
        <f>IF(AND(AF31="-",AF45=0),0,IF(AF31&gt;AF45*(1+$AG$72),-1,IF(AF31&lt;=AF45*(1-$AG$71),1,0)))</f>
        <v>0</v>
      </c>
    </row>
    <row r="57" spans="4:32" ht="29.85" customHeight="1" x14ac:dyDescent="0.25">
      <c r="D57" s="18">
        <v>28.5</v>
      </c>
      <c r="AB57" s="55" t="s">
        <v>1073</v>
      </c>
      <c r="AC57" s="72" t="s">
        <v>1074</v>
      </c>
      <c r="AD57" s="55" t="s">
        <v>1016</v>
      </c>
      <c r="AE57" s="80">
        <f>IF(AND(AE32="-",AE46=0),0,IF(AE32&gt;AE46*(1+$AE$72),-1,IF(AE32&lt;=AE46*(1-$AE$71),1,0)))</f>
        <v>0</v>
      </c>
      <c r="AF57" s="80">
        <f>IF(AND(AF32="-",AF46=0),0,IF(AF32&gt;AF46*(1+$AG$72),-1,IF(AF32&lt;=AF46*(1-$AG$71),1,0)))</f>
        <v>0</v>
      </c>
    </row>
    <row r="58" spans="4:32" ht="29.85" customHeight="1" x14ac:dyDescent="0.25">
      <c r="D58" s="18">
        <v>28.5</v>
      </c>
      <c r="AB58" s="55" t="s">
        <v>1075</v>
      </c>
      <c r="AC58" s="72" t="s">
        <v>1076</v>
      </c>
      <c r="AD58" s="55" t="s">
        <v>1016</v>
      </c>
      <c r="AE58" s="80">
        <f>IF(AND(AE33="-",AE47=0),0,IF(AE33&gt;AE47*(1+$AE$72),-1,IF(AE33&lt;=AE47*(1-$AE$71),1,0)))</f>
        <v>0</v>
      </c>
      <c r="AF58" s="80">
        <f>IF(AND(AF33="-",AF47=0),0,IF(AF33&gt;AF47*(1+$AG$72),-1,IF(AF33&lt;=AF47*(1-$AG$71),1,0)))</f>
        <v>0</v>
      </c>
    </row>
    <row r="59" spans="4:32" ht="29.85" customHeight="1" x14ac:dyDescent="0.25">
      <c r="D59" s="18">
        <v>28.5</v>
      </c>
      <c r="AB59" s="55" t="s">
        <v>1077</v>
      </c>
      <c r="AC59" s="72" t="s">
        <v>1078</v>
      </c>
      <c r="AD59" s="55" t="s">
        <v>1016</v>
      </c>
      <c r="AE59" s="80">
        <f>IF(AND(AE34="-",AE48=0),0,IF(AE34&gt;AE48*(1+$AE$72),-1,IF(AE34&lt;=AE48*(1-$AE$71),1,0)))</f>
        <v>0</v>
      </c>
      <c r="AF59" s="80">
        <f>IF(AND(AF34="-",AF48=0),0,IF(AF34&gt;AF48*(1+$AG$72),-1,IF(AF34&lt;=AF48*(1-$AG$71),1,0)))</f>
        <v>0</v>
      </c>
    </row>
    <row r="60" spans="4:32" ht="42.6" customHeight="1" x14ac:dyDescent="0.25">
      <c r="D60" s="18">
        <v>40.5</v>
      </c>
      <c r="AB60" s="70">
        <v>16</v>
      </c>
      <c r="AC60" s="72" t="s">
        <v>1019</v>
      </c>
      <c r="AD60" s="55" t="s">
        <v>1016</v>
      </c>
      <c r="AE60" s="72"/>
      <c r="AF60" s="72"/>
    </row>
    <row r="61" spans="4:32" ht="26.85" customHeight="1" x14ac:dyDescent="0.25">
      <c r="D61" s="18">
        <v>25.5</v>
      </c>
      <c r="AB61" s="70">
        <v>17</v>
      </c>
      <c r="AC61" s="72" t="s">
        <v>1020</v>
      </c>
      <c r="AD61" s="55" t="s">
        <v>1016</v>
      </c>
      <c r="AE61" s="80">
        <f>IF(AE35&gt;=AE38*(1+AE87),-1,IF(AE35&lt;=AE38*(1-AE87),1,0))</f>
        <v>-1</v>
      </c>
      <c r="AF61" s="80">
        <f>IF(AF35&gt;=AF38*(1+AG87),-1,IF(AF35&lt;=AF38*(1-AG87),1,0))</f>
        <v>-1</v>
      </c>
    </row>
    <row r="62" spans="4:32" ht="26.85" customHeight="1" x14ac:dyDescent="0.25">
      <c r="D62" s="18">
        <v>25.5</v>
      </c>
      <c r="AB62" s="70">
        <v>18</v>
      </c>
      <c r="AC62" s="72" t="s">
        <v>1021</v>
      </c>
      <c r="AD62" s="55" t="s">
        <v>1016</v>
      </c>
      <c r="AE62" s="153"/>
      <c r="AF62" s="153"/>
    </row>
    <row r="63" spans="4:32" ht="26.85" customHeight="1" x14ac:dyDescent="0.25">
      <c r="D63" s="18">
        <v>25.5</v>
      </c>
      <c r="AB63" s="70">
        <v>19</v>
      </c>
      <c r="AC63" s="72" t="s">
        <v>1022</v>
      </c>
      <c r="AD63" s="55" t="s">
        <v>1016</v>
      </c>
      <c r="AE63" s="154"/>
      <c r="AF63" s="221"/>
    </row>
    <row r="64" spans="4:32" ht="11.85" customHeight="1" x14ac:dyDescent="0.25">
      <c r="D64" s="18">
        <v>11.25</v>
      </c>
    </row>
    <row r="65" spans="4:33" ht="47.25" customHeight="1" x14ac:dyDescent="0.25">
      <c r="D65" s="18">
        <v>45</v>
      </c>
      <c r="AC65" s="16" t="str">
        <f>IF(LEN(ruk_dol)=0,"",ruk_dol)</f>
        <v>Генеральный директор</v>
      </c>
      <c r="AD65" s="140" t="str">
        <f>IF(LEN(ruk_FIO)=0,"",ruk_FIO)</f>
        <v>Мурадов Сергей Юрьевич</v>
      </c>
    </row>
    <row r="66" spans="4:33" ht="11.85" customHeight="1" x14ac:dyDescent="0.25">
      <c r="D66" s="18">
        <v>11.25</v>
      </c>
      <c r="AC66" s="86" t="s">
        <v>445</v>
      </c>
      <c r="AD66" s="91" t="s">
        <v>545</v>
      </c>
      <c r="AE66" s="86" t="s">
        <v>546</v>
      </c>
      <c r="AF66" s="86" t="s">
        <v>546</v>
      </c>
    </row>
    <row r="67" spans="4:33" ht="11.85" customHeight="1" x14ac:dyDescent="0.25">
      <c r="D67" s="18">
        <v>11.25</v>
      </c>
    </row>
    <row r="68" spans="4:33" ht="11.25" hidden="1" customHeight="1" x14ac:dyDescent="0.25">
      <c r="D68" s="18">
        <v>0</v>
      </c>
    </row>
    <row r="69" spans="4:33" ht="11.25" hidden="1" customHeight="1" x14ac:dyDescent="0.25">
      <c r="D69" s="18">
        <v>0</v>
      </c>
    </row>
    <row r="70" spans="4:33" ht="21.2" customHeight="1" x14ac:dyDescent="0.25">
      <c r="D70" s="18">
        <v>20.25</v>
      </c>
      <c r="AC70" s="55" t="s">
        <v>1023</v>
      </c>
      <c r="AD70" s="70" t="str">
        <f>IF(PRD="","Не определено",PRD-1)&amp;" год"</f>
        <v>2022 год</v>
      </c>
      <c r="AE70" s="70" t="str">
        <f>IF(PRD="","Не определено",PRD)&amp;" год"</f>
        <v>2023 год</v>
      </c>
      <c r="AF70" s="110" t="str">
        <f>IF(PRD="","Не определено",PRD-1)&amp;" год"</f>
        <v>2022 год</v>
      </c>
      <c r="AG70" s="110" t="str">
        <f>IF(PRD="","Не определено",PRD)&amp;" год"</f>
        <v>2023 год</v>
      </c>
    </row>
    <row r="71" spans="4:33" ht="15.75" customHeight="1" x14ac:dyDescent="0.25">
      <c r="D71" s="18">
        <v>15</v>
      </c>
      <c r="AC71" s="72" t="s">
        <v>1024</v>
      </c>
      <c r="AD71" s="72"/>
      <c r="AE71" s="111">
        <f>IF(AND(AE73="да",PRD-FIRST_PERIOD_IN_LT+1&lt;=3),0.35,IF(AND(AE73="да",PRD-FIRST_PERIOD_IN_LT+1=4,AD82&gt;35%),0.3,IF(AND(AE73="да",PRD-FIRST_PERIOD_IN_LT+1=4,AD82&lt;35%),0.35,IF(AND(AD82&gt;35%,AD79=0.35),0.3,IF(AD82&gt;35%,MAX(AD79-0.01,0.25),AD79)))))</f>
        <v>0</v>
      </c>
      <c r="AF71" s="72"/>
      <c r="AG71" s="111">
        <f>IF(AND(AG73="да",PRD-FIRST_PERIOD_IN_LT+1&lt;=3),0.35,IF(AND(AG73="да",PRD-FIRST_PERIOD_IN_LT+1=4,AF82&gt;35%),0.3,IF(AND(AG73="да",PRD-FIRST_PERIOD_IN_LT+1=4,AF82&lt;35%),0.35,IF(AND(AF82&gt;35%,AF79=0.35),0.3,IF(AF82&gt;35%,MAX(AF79-0.01,0.25),AF79)))))</f>
        <v>0</v>
      </c>
    </row>
    <row r="72" spans="4:33" ht="15.75" customHeight="1" x14ac:dyDescent="0.25">
      <c r="D72" s="18">
        <v>15</v>
      </c>
      <c r="AC72" s="72" t="s">
        <v>1025</v>
      </c>
      <c r="AD72" s="72"/>
      <c r="AE72" s="111">
        <f>IF(AND(AE73="да",PRD-FIRST_PERIOD_IN_LT+1&lt;=3),0.35,IF(AND(AE73="да",PRD-FIRST_PERIOD_IN_LT+1=4,AD86&gt;35%),0.3,IF(AND(AE73="да",PRD-FIRST_PERIOD_IN_LT+1=4,AD86&lt;35%),0.35,IF(AND(AD86&gt;35%,AD83=0.35),0.3,IF(AD86&gt;35%,MAX(AD83-0.01,0.25),AD83)))))</f>
        <v>0</v>
      </c>
      <c r="AF72" s="72"/>
      <c r="AG72" s="111">
        <f>IF(AND(AG73="да",PRD-FIRST_PERIOD_IN_LT+1&lt;=3),0.35,IF(AND(AG73="да",PRD-FIRST_PERIOD_IN_LT+1=4,AF86&gt;35%),0.3,IF(AND(AG73="да",PRD-FIRST_PERIOD_IN_LT+1=4,AF86&lt;35%),0.35,IF(AND(AF86&gt;35%,AF83=0.35),0.3,IF(AF86&gt;35%,MAX(AF83-0.01,0.25),AF83)))))</f>
        <v>0</v>
      </c>
    </row>
    <row r="73" spans="4:33" ht="26.85" customHeight="1" x14ac:dyDescent="0.25">
      <c r="D73" s="18">
        <v>25.5</v>
      </c>
      <c r="AC73" s="72" t="s">
        <v>1026</v>
      </c>
      <c r="AD73" s="72"/>
      <c r="AE73" s="115" t="str">
        <f>FIRST_PERIOD_INDEX</f>
        <v>нет</v>
      </c>
      <c r="AF73" s="72"/>
      <c r="AG73" s="115" t="str">
        <f>FIRST_PERIOD_INDEX</f>
        <v>нет</v>
      </c>
    </row>
    <row r="74" spans="4:33" ht="15.75" customHeight="1" x14ac:dyDescent="0.25">
      <c r="D74" s="18">
        <v>15</v>
      </c>
      <c r="AC74" s="72" t="s">
        <v>1027</v>
      </c>
      <c r="AD74" s="72"/>
      <c r="AE74" s="75"/>
      <c r="AF74" s="72"/>
      <c r="AG74" s="195"/>
    </row>
    <row r="75" spans="4:33" ht="15.75" customHeight="1" x14ac:dyDescent="0.25">
      <c r="D75" s="18">
        <v>15</v>
      </c>
      <c r="AC75" s="72" t="s">
        <v>1028</v>
      </c>
      <c r="AD75" s="93"/>
      <c r="AE75" s="72"/>
      <c r="AF75" s="222"/>
      <c r="AG75" s="72"/>
    </row>
    <row r="76" spans="4:33" ht="15.75" customHeight="1" x14ac:dyDescent="0.25">
      <c r="D76" s="18">
        <v>15</v>
      </c>
      <c r="AC76" s="72" t="s">
        <v>1029</v>
      </c>
      <c r="AD76" s="111">
        <f>AE38</f>
        <v>0</v>
      </c>
      <c r="AE76" s="72"/>
      <c r="AF76" s="111">
        <f>AF38</f>
        <v>0</v>
      </c>
      <c r="AG76" s="72"/>
    </row>
    <row r="77" spans="4:33" ht="15.75" customHeight="1" x14ac:dyDescent="0.25">
      <c r="D77" s="18">
        <v>15</v>
      </c>
      <c r="AC77" s="72" t="s">
        <v>1030</v>
      </c>
      <c r="AD77" s="111">
        <f>'Ф.3.1Ф3.2 ПоказТехприс (Птпр)'!AE42</f>
        <v>1</v>
      </c>
      <c r="AE77" s="72"/>
      <c r="AF77" s="111">
        <f>'Ф.3.1Ф3.2 ПоказТехприс (Птпр)'!AF42</f>
        <v>1</v>
      </c>
      <c r="AG77" s="72"/>
    </row>
    <row r="78" spans="4:33" ht="15.75" customHeight="1" x14ac:dyDescent="0.25">
      <c r="D78" s="18">
        <v>15</v>
      </c>
      <c r="AC78" s="72" t="s">
        <v>1031</v>
      </c>
      <c r="AD78" s="155">
        <f>IF(AD76=0,0,IF(AD77/AD76&lt;1,0,1))</f>
        <v>0</v>
      </c>
      <c r="AE78" s="72"/>
      <c r="AF78" s="155">
        <f>IF(AF76=0,0,IF(AF77/AF76&lt;1,0,1))</f>
        <v>0</v>
      </c>
      <c r="AG78" s="72"/>
    </row>
    <row r="79" spans="4:33" ht="15.75" customHeight="1" x14ac:dyDescent="0.25">
      <c r="D79" s="18">
        <v>15</v>
      </c>
      <c r="AC79" s="72" t="s">
        <v>1032</v>
      </c>
      <c r="AD79" s="93"/>
      <c r="AE79" s="72"/>
      <c r="AF79" s="222"/>
      <c r="AG79" s="72"/>
    </row>
    <row r="80" spans="4:33" ht="11.85" customHeight="1" x14ac:dyDescent="0.25">
      <c r="D80" s="18">
        <v>11.25</v>
      </c>
      <c r="AC80" s="72" t="s">
        <v>1033</v>
      </c>
      <c r="AD80" s="111">
        <f>AE41</f>
        <v>0</v>
      </c>
      <c r="AE80" s="72"/>
      <c r="AF80" s="111">
        <f>AF41</f>
        <v>0</v>
      </c>
      <c r="AG80" s="72"/>
    </row>
    <row r="81" spans="4:36" ht="11.85" customHeight="1" x14ac:dyDescent="0.25">
      <c r="D81" s="18">
        <v>11.25</v>
      </c>
      <c r="AC81" s="72" t="s">
        <v>1034</v>
      </c>
      <c r="AD81" s="111" t="str">
        <f>AE27</f>
        <v>-</v>
      </c>
      <c r="AE81" s="72"/>
      <c r="AF81" s="111" t="str">
        <f>AF27</f>
        <v>-</v>
      </c>
      <c r="AG81" s="72"/>
    </row>
    <row r="82" spans="4:36" ht="11.85" customHeight="1" x14ac:dyDescent="0.25">
      <c r="D82" s="18">
        <v>11.25</v>
      </c>
      <c r="AC82" s="72" t="s">
        <v>1035</v>
      </c>
      <c r="AD82" s="156">
        <f>IF(AD80=0,0,AD81/AD80-1)</f>
        <v>0</v>
      </c>
      <c r="AE82" s="72"/>
      <c r="AF82" s="156">
        <f>IF(AF80=0,0,AF81/AF80-1)</f>
        <v>0</v>
      </c>
      <c r="AG82" s="72"/>
    </row>
    <row r="83" spans="4:36" ht="11.85" customHeight="1" x14ac:dyDescent="0.25">
      <c r="D83" s="18">
        <v>11.25</v>
      </c>
      <c r="AC83" s="72" t="s">
        <v>1036</v>
      </c>
      <c r="AD83" s="93"/>
      <c r="AE83" s="72"/>
      <c r="AF83" s="222"/>
      <c r="AG83" s="72"/>
    </row>
    <row r="84" spans="4:36" ht="11.85" customHeight="1" x14ac:dyDescent="0.25">
      <c r="D84" s="18">
        <v>11.25</v>
      </c>
      <c r="AC84" s="72" t="s">
        <v>1037</v>
      </c>
      <c r="AD84" s="111">
        <f>AE45</f>
        <v>0</v>
      </c>
      <c r="AE84" s="72"/>
      <c r="AF84" s="111">
        <f>AF45</f>
        <v>0</v>
      </c>
      <c r="AG84" s="72"/>
    </row>
    <row r="85" spans="4:36" ht="11.85" customHeight="1" x14ac:dyDescent="0.25">
      <c r="D85" s="18">
        <v>11.25</v>
      </c>
      <c r="AC85" s="72" t="s">
        <v>1038</v>
      </c>
      <c r="AD85" s="111" t="str">
        <f>AE31</f>
        <v>-</v>
      </c>
      <c r="AE85" s="72"/>
      <c r="AF85" s="111" t="str">
        <f>AF31</f>
        <v>-</v>
      </c>
      <c r="AG85" s="72"/>
    </row>
    <row r="86" spans="4:36" ht="11.85" customHeight="1" x14ac:dyDescent="0.25">
      <c r="D86" s="18">
        <v>11.25</v>
      </c>
      <c r="AC86" s="72" t="s">
        <v>1039</v>
      </c>
      <c r="AD86" s="156">
        <f>IF(AD84=0,0,AD85/AD84-1)</f>
        <v>0</v>
      </c>
      <c r="AE86" s="72"/>
      <c r="AF86" s="156">
        <f>IF(AF84=0,0,AF85/AF84-1)</f>
        <v>0</v>
      </c>
      <c r="AG86" s="72"/>
    </row>
    <row r="87" spans="4:36" ht="11.85" customHeight="1" x14ac:dyDescent="0.25">
      <c r="D87" s="18">
        <v>11.25</v>
      </c>
      <c r="AC87" s="72" t="s">
        <v>1040</v>
      </c>
      <c r="AD87" s="72"/>
      <c r="AE87" s="80">
        <f>IF(AND(AE73="да",PRD-FIRST_PERIOD_IN_LT+1&lt;=3),0.35,IF(AND(AE73="да",PRD-FIRST_PERIOD_IN_LT+1=4,AD78=1),0.3,IF(AND(AE73="да",PRD-FIRST_PERIOD_IN_LT+1=4,AD78=0),0.35,IF(AND(AD78=1,AD75=0.35),0.3,IF(AD78=1,MAX(AD75-0.01,0.25),AD75)))))</f>
        <v>0</v>
      </c>
      <c r="AF87" s="72"/>
      <c r="AG87" s="80">
        <f>IF(AND(AG73="да",PRD-FIRST_PERIOD_IN_LT+1&lt;=3),0.35,IF(AND(AG73="да",PRD-FIRST_PERIOD_IN_LT+1=4,AF78=1),0.3,IF(AND(AG73="да",PRD-FIRST_PERIOD_IN_LT+1=4,AF78=0),0.35,IF(AND(AF78=1,AF75=0.35),0.3,IF(AF78=1,MAX(AF75-0.01,0.25),AF75)))))</f>
        <v>0</v>
      </c>
    </row>
    <row r="88" spans="4:36" ht="11.25" hidden="1" customHeight="1" x14ac:dyDescent="0.25">
      <c r="D88" s="19">
        <v>0</v>
      </c>
      <c r="AJ88" s="19" t="s">
        <v>457</v>
      </c>
    </row>
  </sheetData>
  <sheetProtection formatColumns="0" formatRows="0" insertRows="0" deleteColumns="0" deleteRows="0" sort="0" autoFilter="0"/>
  <mergeCells count="2">
    <mergeCell ref="AB22:AE22"/>
    <mergeCell ref="AB21:AD21"/>
  </mergeCells>
  <dataValidations count="2">
    <dataValidation type="whole" allowBlank="1" showErrorMessage="1" errorTitle="Ошибка" error="Допускается ввод только неотрицательных целых чисел!" sqref="AG74" xr:uid="{00000000-0002-0000-1400-000000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AE38:AF38 AE41:AF48" xr:uid="{00000000-0002-0000-1400-000001000000}">
      <formula1>0</formula1>
      <formula2>9.99999999999999E+23</formula2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284B-D35D-689E-2CCF-52AFF49C5617}">
  <sheetPr>
    <tabColor theme="3" tint="0.79998168889431442"/>
    <pageSetUpPr fitToPage="1"/>
  </sheetPr>
  <dimension ref="A1:AO38"/>
  <sheetViews>
    <sheetView showGridLines="0" workbookViewId="0">
      <pane xSplit="29" ySplit="25" topLeftCell="AD26" activePane="bottomRight" state="frozen"/>
      <selection pane="topRight" activeCell="AD1" sqref="AD1"/>
      <selection pane="bottomLeft" activeCell="A26" sqref="A26"/>
      <selection pane="bottomRight" activeCell="AT30" sqref="AT30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4" customWidth="1"/>
    <col min="29" max="29" width="72.42578125" customWidth="1"/>
    <col min="30" max="30" width="15.42578125" customWidth="1"/>
    <col min="31" max="31" width="15.42578125" hidden="1" customWidth="1"/>
    <col min="32" max="33" width="9.140625" hidden="1"/>
    <col min="34" max="37" width="15.85546875" hidden="1" customWidth="1"/>
    <col min="38" max="38" width="21.42578125" hidden="1" customWidth="1"/>
    <col min="39" max="41" width="9.140625" hidden="1"/>
  </cols>
  <sheetData>
    <row r="1" spans="4:39" ht="11.25" hidden="1" customHeight="1" x14ac:dyDescent="0.25"/>
    <row r="2" spans="4:39" ht="11.25" hidden="1" customHeight="1" x14ac:dyDescent="0.25">
      <c r="AE2" s="145" t="b">
        <f t="shared" ref="AE2:AL2" si="0">REPORT_OWNER="Версия регулятора"</f>
        <v>0</v>
      </c>
      <c r="AF2" s="145" t="b">
        <f t="shared" si="0"/>
        <v>0</v>
      </c>
      <c r="AG2" s="145" t="b">
        <f t="shared" si="0"/>
        <v>0</v>
      </c>
      <c r="AH2" s="145" t="b">
        <f t="shared" si="0"/>
        <v>0</v>
      </c>
      <c r="AI2" s="145" t="b">
        <f t="shared" si="0"/>
        <v>0</v>
      </c>
      <c r="AJ2" s="145" t="b">
        <f t="shared" si="0"/>
        <v>0</v>
      </c>
      <c r="AK2" s="145" t="b">
        <f t="shared" si="0"/>
        <v>0</v>
      </c>
      <c r="AL2" s="145" t="b">
        <f t="shared" si="0"/>
        <v>0</v>
      </c>
    </row>
    <row r="3" spans="4:39" ht="11.25" hidden="1" customHeight="1" x14ac:dyDescent="0.25"/>
    <row r="4" spans="4:39" ht="11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4</v>
      </c>
      <c r="AC4" s="18">
        <v>72.430000000000007</v>
      </c>
      <c r="AD4" s="18">
        <v>14.71</v>
      </c>
      <c r="AE4" s="18">
        <v>14.71</v>
      </c>
      <c r="AF4" s="18">
        <v>8.43</v>
      </c>
      <c r="AG4" s="18">
        <v>8.43</v>
      </c>
      <c r="AH4" s="18">
        <v>15.14</v>
      </c>
      <c r="AI4" s="18">
        <v>15.14</v>
      </c>
      <c r="AJ4" s="18">
        <v>15.14</v>
      </c>
      <c r="AK4" s="18">
        <v>15.14</v>
      </c>
      <c r="AL4" s="18">
        <v>20.71</v>
      </c>
      <c r="AM4" s="19">
        <v>0</v>
      </c>
    </row>
    <row r="5" spans="4:39" ht="11.25" hidden="1" customHeight="1" x14ac:dyDescent="0.25">
      <c r="D5" s="18">
        <v>25</v>
      </c>
    </row>
    <row r="6" spans="4:39" ht="11.25" hidden="1" customHeight="1" x14ac:dyDescent="0.25">
      <c r="D6" s="18">
        <v>25</v>
      </c>
    </row>
    <row r="7" spans="4:39" ht="11.25" hidden="1" customHeight="1" x14ac:dyDescent="0.25">
      <c r="D7" s="18">
        <v>25</v>
      </c>
    </row>
    <row r="8" spans="4:39" ht="11.25" hidden="1" customHeight="1" x14ac:dyDescent="0.25">
      <c r="D8" s="18">
        <v>25</v>
      </c>
    </row>
    <row r="9" spans="4:39" ht="11.25" hidden="1" customHeight="1" x14ac:dyDescent="0.25">
      <c r="D9" s="18">
        <v>25</v>
      </c>
    </row>
    <row r="10" spans="4:39" ht="11.25" hidden="1" customHeight="1" x14ac:dyDescent="0.25">
      <c r="D10" s="18">
        <v>25</v>
      </c>
    </row>
    <row r="11" spans="4:39" ht="11.25" hidden="1" customHeight="1" x14ac:dyDescent="0.25">
      <c r="D11" s="18">
        <v>25</v>
      </c>
    </row>
    <row r="12" spans="4:39" ht="11.25" hidden="1" customHeight="1" x14ac:dyDescent="0.25">
      <c r="D12" s="18">
        <v>25</v>
      </c>
    </row>
    <row r="13" spans="4:39" ht="11.25" hidden="1" customHeight="1" x14ac:dyDescent="0.25">
      <c r="D13" s="18">
        <v>25</v>
      </c>
    </row>
    <row r="14" spans="4:39" ht="11.25" hidden="1" customHeight="1" x14ac:dyDescent="0.25">
      <c r="D14" s="18">
        <v>25</v>
      </c>
    </row>
    <row r="15" spans="4:39" ht="11.25" hidden="1" customHeight="1" x14ac:dyDescent="0.25">
      <c r="D15" s="18">
        <v>25</v>
      </c>
    </row>
    <row r="16" spans="4:39" ht="11.25" hidden="1" customHeight="1" x14ac:dyDescent="0.25">
      <c r="D16" s="18">
        <v>25</v>
      </c>
    </row>
    <row r="17" spans="4:38" ht="11.25" hidden="1" customHeight="1" x14ac:dyDescent="0.25">
      <c r="D17" s="18">
        <v>25</v>
      </c>
    </row>
    <row r="18" spans="4:38" ht="11.25" hidden="1" customHeight="1" x14ac:dyDescent="0.25">
      <c r="D18" s="18">
        <v>25</v>
      </c>
    </row>
    <row r="19" spans="4:38" ht="11.25" hidden="1" customHeight="1" x14ac:dyDescent="0.25">
      <c r="D19" s="18">
        <v>25</v>
      </c>
    </row>
    <row r="20" spans="4:38" ht="15.75" customHeight="1" x14ac:dyDescent="0.25">
      <c r="D20" s="18">
        <v>15</v>
      </c>
    </row>
    <row r="21" spans="4:38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8" ht="31.5" customHeight="1" x14ac:dyDescent="0.25">
      <c r="D22" s="18">
        <v>30</v>
      </c>
      <c r="AB22" s="269" t="s">
        <v>1079</v>
      </c>
      <c r="AC22" s="269"/>
      <c r="AD22" s="269"/>
    </row>
    <row r="23" spans="4:38" ht="5.45" customHeight="1" x14ac:dyDescent="0.25">
      <c r="D23" s="18">
        <v>5.25</v>
      </c>
    </row>
    <row r="24" spans="4:38" ht="26.85" customHeight="1" x14ac:dyDescent="0.25">
      <c r="D24" s="18">
        <v>25.5</v>
      </c>
      <c r="AB24" s="70" t="s">
        <v>487</v>
      </c>
      <c r="AC24" s="55" t="s">
        <v>991</v>
      </c>
      <c r="AD24" s="70" t="str">
        <f>IF(PRD="","Не определено",PRD)&amp;" год"</f>
        <v>2023 год</v>
      </c>
      <c r="AE24" s="110" t="str">
        <f>IF(PRD="","Не определено",PRD)&amp;" год"</f>
        <v>2023 год</v>
      </c>
      <c r="AF24" s="70" t="s">
        <v>1080</v>
      </c>
      <c r="AG24" s="70" t="s">
        <v>1081</v>
      </c>
      <c r="AH24" s="330" t="s">
        <v>1082</v>
      </c>
      <c r="AI24" s="331"/>
      <c r="AJ24" s="331"/>
      <c r="AK24" s="332"/>
      <c r="AL24" s="283" t="s">
        <v>1083</v>
      </c>
    </row>
    <row r="25" spans="4:38" ht="42.6" customHeight="1" x14ac:dyDescent="0.25">
      <c r="D25" s="18">
        <v>40.5</v>
      </c>
      <c r="AB25" s="70">
        <v>1</v>
      </c>
      <c r="AC25" s="72" t="s">
        <v>1015</v>
      </c>
      <c r="AD25" s="72"/>
      <c r="AE25" s="72"/>
      <c r="AF25" s="59"/>
      <c r="AG25" s="59"/>
      <c r="AH25" s="70" t="s">
        <v>1084</v>
      </c>
      <c r="AI25" s="70" t="s">
        <v>1085</v>
      </c>
      <c r="AJ25" s="70" t="s">
        <v>1086</v>
      </c>
      <c r="AK25" s="70" t="s">
        <v>1087</v>
      </c>
      <c r="AL25" s="282"/>
    </row>
    <row r="26" spans="4:38" ht="15.75" customHeight="1" x14ac:dyDescent="0.25">
      <c r="D26" s="18">
        <v>15</v>
      </c>
      <c r="AB26" s="70">
        <v>2</v>
      </c>
      <c r="AC26" s="72" t="s">
        <v>1017</v>
      </c>
      <c r="AD26" s="80">
        <f>'Форма 4.1 расч.'!AE38</f>
        <v>-1</v>
      </c>
      <c r="AE26" s="80">
        <f>'Форма 4.1 расч.'!AF38</f>
        <v>-1</v>
      </c>
      <c r="AF26" s="205"/>
      <c r="AG26" s="205"/>
      <c r="AH26" s="223"/>
      <c r="AI26" s="224"/>
      <c r="AJ26" s="224"/>
      <c r="AK26" s="224"/>
      <c r="AL26" s="157">
        <f>IF(SUM(AH26:AK26)&gt;0,-1,1)</f>
        <v>1</v>
      </c>
    </row>
    <row r="27" spans="4:38" ht="15.75" customHeight="1" x14ac:dyDescent="0.25">
      <c r="D27" s="18">
        <v>15</v>
      </c>
      <c r="AB27" s="70">
        <f t="shared" ref="AB27:AB34" si="1">AB26+1</f>
        <v>3</v>
      </c>
      <c r="AC27" s="72" t="s">
        <v>1018</v>
      </c>
      <c r="AD27" s="80">
        <f>'Форма 4.1 расч.'!AE39</f>
        <v>-1</v>
      </c>
      <c r="AE27" s="80">
        <f>'Форма 4.1 расч.'!AF39</f>
        <v>-1</v>
      </c>
    </row>
    <row r="28" spans="4:38" ht="15.75" customHeight="1" x14ac:dyDescent="0.25">
      <c r="D28" s="18">
        <v>15</v>
      </c>
      <c r="AB28" s="70">
        <f t="shared" si="1"/>
        <v>4</v>
      </c>
      <c r="AC28" s="72" t="s">
        <v>1088</v>
      </c>
      <c r="AD28" s="72"/>
      <c r="AE28" s="72"/>
    </row>
    <row r="29" spans="4:38" ht="15.75" customHeight="1" x14ac:dyDescent="0.25">
      <c r="D29" s="18">
        <v>15</v>
      </c>
      <c r="AB29" s="70">
        <f t="shared" si="1"/>
        <v>5</v>
      </c>
      <c r="AC29" s="72" t="s">
        <v>1089</v>
      </c>
      <c r="AD29" s="80">
        <f>'Форма 4.1 расч.'!AE41</f>
        <v>0</v>
      </c>
      <c r="AE29" s="80">
        <f>'Форма 4.1 расч.'!AF41</f>
        <v>-1</v>
      </c>
    </row>
    <row r="30" spans="4:38" ht="15.75" customHeight="1" x14ac:dyDescent="0.25">
      <c r="D30" s="18">
        <v>15</v>
      </c>
      <c r="AB30" s="70">
        <f t="shared" si="1"/>
        <v>6</v>
      </c>
      <c r="AC30" s="72" t="s">
        <v>1090</v>
      </c>
      <c r="AD30" s="72"/>
      <c r="AE30" s="72"/>
    </row>
    <row r="31" spans="4:38" ht="15.75" customHeight="1" x14ac:dyDescent="0.25">
      <c r="D31" s="18">
        <v>15</v>
      </c>
      <c r="AB31" s="70">
        <f t="shared" si="1"/>
        <v>7</v>
      </c>
      <c r="AC31" s="72" t="s">
        <v>1091</v>
      </c>
      <c r="AD31" s="80">
        <f>'Форма 4.1 расч.'!AE43</f>
        <v>0</v>
      </c>
      <c r="AE31" s="80">
        <f>'Форма 4.1 расч.'!AF43</f>
        <v>0</v>
      </c>
    </row>
    <row r="32" spans="4:38" ht="15.75" customHeight="1" x14ac:dyDescent="0.25">
      <c r="D32" s="18">
        <v>15</v>
      </c>
      <c r="AB32" s="70">
        <f t="shared" si="1"/>
        <v>8</v>
      </c>
      <c r="AC32" s="72" t="s">
        <v>1092</v>
      </c>
      <c r="AD32" s="80">
        <f>AD26*0.3+AD27*0.3+AD29*0.3+AD31*0.1</f>
        <v>-0.6</v>
      </c>
      <c r="AE32" s="80">
        <f>AE26*0.3+AE27*0.3+AE29*0.3+AE31*0.1</f>
        <v>-0.89999999999999991</v>
      </c>
    </row>
    <row r="33" spans="4:39" ht="15.75" customHeight="1" x14ac:dyDescent="0.25">
      <c r="D33" s="18">
        <v>15</v>
      </c>
      <c r="AB33" s="70">
        <f t="shared" si="1"/>
        <v>9</v>
      </c>
      <c r="AC33" s="72" t="s">
        <v>1093</v>
      </c>
      <c r="AD33" s="73">
        <v>0.02</v>
      </c>
      <c r="AE33" s="225"/>
    </row>
    <row r="34" spans="4:39" ht="34.700000000000003" customHeight="1" x14ac:dyDescent="0.25">
      <c r="D34" s="18">
        <v>33</v>
      </c>
      <c r="AB34" s="70">
        <f t="shared" si="1"/>
        <v>10</v>
      </c>
      <c r="AC34" s="72" t="s">
        <v>1094</v>
      </c>
      <c r="AD34" s="80">
        <f>IF(AD32&gt;0,AD32*AD33*AL26,IF(AL26=1,AD32*AD33*AL26,-AD32*AD33*AL26))</f>
        <v>-1.2E-2</v>
      </c>
      <c r="AE34" s="80">
        <f>IF(AE32&gt;0,AE32*AE33*AL26,IF(AL26=1,AE32*AE33*AL26,-AE32*AE33*AL26))</f>
        <v>0</v>
      </c>
    </row>
    <row r="35" spans="4:39" ht="11.85" customHeight="1" x14ac:dyDescent="0.25">
      <c r="D35" s="18">
        <v>11.25</v>
      </c>
    </row>
    <row r="36" spans="4:39" ht="47.25" customHeight="1" x14ac:dyDescent="0.25">
      <c r="D36" s="18">
        <v>45</v>
      </c>
      <c r="AC36" s="16" t="str">
        <f>IF(LEN(ruk_dol)=0,"",ruk_dol)</f>
        <v>Генеральный директор</v>
      </c>
      <c r="AD36" s="140" t="str">
        <f>IF(LEN(ruk_FIO)=0,"",ruk_FIO)</f>
        <v>Мурадов Сергей Юрьевич</v>
      </c>
      <c r="AE36" s="140" t="str">
        <f>IF(LEN(ruk_FIO)=0,"",ruk_FIO)</f>
        <v>Мурадов Сергей Юрьевич</v>
      </c>
    </row>
    <row r="37" spans="4:39" ht="23.65" customHeight="1" x14ac:dyDescent="0.25">
      <c r="D37" s="18">
        <v>22.5</v>
      </c>
      <c r="AC37" s="86" t="s">
        <v>445</v>
      </c>
      <c r="AD37" s="91" t="s">
        <v>545</v>
      </c>
      <c r="AE37" s="91" t="s">
        <v>545</v>
      </c>
    </row>
    <row r="38" spans="4:39" ht="11.25" hidden="1" customHeight="1" x14ac:dyDescent="0.25">
      <c r="D38" s="19">
        <v>0</v>
      </c>
      <c r="AM38" s="19" t="s">
        <v>457</v>
      </c>
    </row>
  </sheetData>
  <sheetProtection formatColumns="0" formatRows="0" insertRows="0" deleteColumns="0" deleteRows="0" sort="0" autoFilter="0"/>
  <mergeCells count="4">
    <mergeCell ref="AB22:AD22"/>
    <mergeCell ref="AH24:AK24"/>
    <mergeCell ref="AL24:AL25"/>
    <mergeCell ref="AB21:AD21"/>
  </mergeCells>
  <dataValidations count="1">
    <dataValidation type="whole" allowBlank="1" showErrorMessage="1" errorTitle="Ошибка" error="Допускается ввод только неотрицательных целых чисел!" sqref="AH26:AK26" xr:uid="{00000000-0002-0000-1500-000000000000}">
      <formula1>0</formula1>
      <formula2>9.99999999999999E+23</formula2>
    </dataValidation>
  </dataValidations>
  <pageMargins left="0.7" right="0.7" top="0.75" bottom="0.75" header="0.3" footer="0.3"/>
  <pageSetup scale="92" orientation="portrait" r:id="rId1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FB0A-AA4C-E1F5-8591-E3238B00F2BF}">
  <sheetPr>
    <tabColor rgb="FFC5D9F1"/>
  </sheetPr>
  <dimension ref="A1:AO38"/>
  <sheetViews>
    <sheetView showGridLines="0" workbookViewId="0">
      <pane xSplit="29" ySplit="25" topLeftCell="AD26" activePane="bottomRight" state="frozen"/>
      <selection pane="topRight" activeCell="AD1" sqref="AD1"/>
      <selection pane="bottomLeft" activeCell="A26" sqref="A26"/>
      <selection pane="bottomRight" activeCell="AA20" sqref="AA20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4" customWidth="1"/>
    <col min="29" max="29" width="72.42578125" customWidth="1"/>
    <col min="30" max="30" width="15.42578125" customWidth="1"/>
    <col min="31" max="31" width="15.42578125" hidden="1" customWidth="1"/>
    <col min="32" max="33" width="9.140625" hidden="1"/>
    <col min="34" max="37" width="15.85546875" hidden="1" customWidth="1"/>
    <col min="38" max="38" width="21.42578125" hidden="1" customWidth="1"/>
    <col min="39" max="41" width="9.140625" hidden="1"/>
  </cols>
  <sheetData>
    <row r="1" spans="4:39" ht="11.25" hidden="1" customHeight="1" x14ac:dyDescent="0.25"/>
    <row r="2" spans="4:39" ht="11.25" hidden="1" customHeight="1" x14ac:dyDescent="0.25">
      <c r="AE2" s="145" t="b">
        <f t="shared" ref="AE2:AL2" si="0">REPORT_OWNER="Версия регулятора"</f>
        <v>0</v>
      </c>
      <c r="AF2" s="145" t="b">
        <f t="shared" si="0"/>
        <v>0</v>
      </c>
      <c r="AG2" s="145" t="b">
        <f t="shared" si="0"/>
        <v>0</v>
      </c>
      <c r="AH2" s="145" t="b">
        <f t="shared" si="0"/>
        <v>0</v>
      </c>
      <c r="AI2" s="145" t="b">
        <f t="shared" si="0"/>
        <v>0</v>
      </c>
      <c r="AJ2" s="145" t="b">
        <f t="shared" si="0"/>
        <v>0</v>
      </c>
      <c r="AK2" s="145" t="b">
        <f t="shared" si="0"/>
        <v>0</v>
      </c>
      <c r="AL2" s="145" t="b">
        <f t="shared" si="0"/>
        <v>0</v>
      </c>
    </row>
    <row r="3" spans="4:39" ht="11.25" hidden="1" customHeight="1" x14ac:dyDescent="0.25"/>
    <row r="4" spans="4:39" ht="11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4</v>
      </c>
      <c r="AC4" s="18">
        <v>72.430000000000007</v>
      </c>
      <c r="AD4" s="18">
        <v>14.71</v>
      </c>
      <c r="AE4" s="18">
        <v>14.71</v>
      </c>
      <c r="AF4" s="18">
        <v>8.43</v>
      </c>
      <c r="AG4" s="18">
        <v>8.43</v>
      </c>
      <c r="AH4" s="18">
        <v>15.14</v>
      </c>
      <c r="AI4" s="18">
        <v>15.14</v>
      </c>
      <c r="AJ4" s="18">
        <v>15.14</v>
      </c>
      <c r="AK4" s="18">
        <v>15.14</v>
      </c>
      <c r="AL4" s="18">
        <v>20.71</v>
      </c>
      <c r="AM4" s="19">
        <v>0</v>
      </c>
    </row>
    <row r="5" spans="4:39" ht="11.25" hidden="1" customHeight="1" x14ac:dyDescent="0.25">
      <c r="D5" s="18">
        <v>25</v>
      </c>
    </row>
    <row r="6" spans="4:39" ht="11.25" hidden="1" customHeight="1" x14ac:dyDescent="0.25">
      <c r="D6" s="18">
        <v>25</v>
      </c>
    </row>
    <row r="7" spans="4:39" ht="11.25" hidden="1" customHeight="1" x14ac:dyDescent="0.25">
      <c r="D7" s="18">
        <v>25</v>
      </c>
    </row>
    <row r="8" spans="4:39" ht="11.25" hidden="1" customHeight="1" x14ac:dyDescent="0.25">
      <c r="D8" s="18">
        <v>25</v>
      </c>
    </row>
    <row r="9" spans="4:39" ht="11.25" hidden="1" customHeight="1" x14ac:dyDescent="0.25">
      <c r="D9" s="18">
        <v>25</v>
      </c>
    </row>
    <row r="10" spans="4:39" ht="11.25" hidden="1" customHeight="1" x14ac:dyDescent="0.25">
      <c r="D10" s="18">
        <v>25</v>
      </c>
    </row>
    <row r="11" spans="4:39" ht="11.25" hidden="1" customHeight="1" x14ac:dyDescent="0.25">
      <c r="D11" s="18">
        <v>25</v>
      </c>
    </row>
    <row r="12" spans="4:39" ht="11.25" hidden="1" customHeight="1" x14ac:dyDescent="0.25">
      <c r="D12" s="18">
        <v>25</v>
      </c>
    </row>
    <row r="13" spans="4:39" ht="11.25" hidden="1" customHeight="1" x14ac:dyDescent="0.25">
      <c r="D13" s="18">
        <v>25</v>
      </c>
    </row>
    <row r="14" spans="4:39" ht="11.25" hidden="1" customHeight="1" x14ac:dyDescent="0.25">
      <c r="D14" s="18">
        <v>25</v>
      </c>
    </row>
    <row r="15" spans="4:39" ht="11.25" hidden="1" customHeight="1" x14ac:dyDescent="0.25">
      <c r="D15" s="18">
        <v>25</v>
      </c>
    </row>
    <row r="16" spans="4:39" ht="11.25" hidden="1" customHeight="1" x14ac:dyDescent="0.25">
      <c r="D16" s="18">
        <v>25</v>
      </c>
    </row>
    <row r="17" spans="4:38" ht="11.25" hidden="1" customHeight="1" x14ac:dyDescent="0.25">
      <c r="D17" s="18">
        <v>25</v>
      </c>
    </row>
    <row r="18" spans="4:38" ht="11.25" hidden="1" customHeight="1" x14ac:dyDescent="0.25">
      <c r="D18" s="18">
        <v>25</v>
      </c>
    </row>
    <row r="19" spans="4:38" ht="11.25" hidden="1" customHeight="1" x14ac:dyDescent="0.25">
      <c r="D19" s="18">
        <v>25</v>
      </c>
    </row>
    <row r="20" spans="4:38" ht="15.75" customHeight="1" x14ac:dyDescent="0.25">
      <c r="D20" s="18">
        <v>15</v>
      </c>
    </row>
    <row r="21" spans="4:38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8" ht="31.5" customHeight="1" x14ac:dyDescent="0.25">
      <c r="D22" s="18">
        <v>30</v>
      </c>
      <c r="AB22" s="269" t="s">
        <v>1079</v>
      </c>
      <c r="AC22" s="269"/>
      <c r="AD22" s="269"/>
    </row>
    <row r="23" spans="4:38" ht="5.45" customHeight="1" x14ac:dyDescent="0.25">
      <c r="D23" s="18">
        <v>5.25</v>
      </c>
    </row>
    <row r="24" spans="4:38" ht="26.85" customHeight="1" x14ac:dyDescent="0.25">
      <c r="D24" s="18">
        <v>25.5</v>
      </c>
      <c r="AB24" s="70" t="s">
        <v>487</v>
      </c>
      <c r="AC24" s="55" t="s">
        <v>991</v>
      </c>
      <c r="AD24" s="70" t="str">
        <f>IF(PRD="","Не определено",PRD)&amp;" год"</f>
        <v>2023 год</v>
      </c>
      <c r="AE24" s="110" t="str">
        <f>IF(PRD="","Не определено",PRD)&amp;" год"</f>
        <v>2023 год</v>
      </c>
      <c r="AF24" s="70" t="s">
        <v>1080</v>
      </c>
      <c r="AG24" s="70" t="s">
        <v>1081</v>
      </c>
      <c r="AH24" s="330" t="s">
        <v>1082</v>
      </c>
      <c r="AI24" s="331"/>
      <c r="AJ24" s="331"/>
      <c r="AK24" s="332"/>
      <c r="AL24" s="283" t="s">
        <v>1083</v>
      </c>
    </row>
    <row r="25" spans="4:38" ht="42.6" customHeight="1" x14ac:dyDescent="0.25">
      <c r="D25" s="18">
        <v>40.5</v>
      </c>
      <c r="AB25" s="70">
        <v>1</v>
      </c>
      <c r="AC25" s="72" t="s">
        <v>1015</v>
      </c>
      <c r="AD25" s="72"/>
      <c r="AE25" s="72"/>
      <c r="AF25" s="59"/>
      <c r="AG25" s="59"/>
      <c r="AH25" s="70" t="s">
        <v>1084</v>
      </c>
      <c r="AI25" s="70" t="s">
        <v>1085</v>
      </c>
      <c r="AJ25" s="70" t="s">
        <v>1086</v>
      </c>
      <c r="AK25" s="70" t="s">
        <v>1087</v>
      </c>
      <c r="AL25" s="282"/>
    </row>
    <row r="26" spans="4:38" ht="15.75" customHeight="1" x14ac:dyDescent="0.25">
      <c r="D26" s="18">
        <v>15</v>
      </c>
      <c r="AB26" s="70">
        <v>2</v>
      </c>
      <c r="AC26" s="72" t="s">
        <v>1017</v>
      </c>
      <c r="AD26" s="80">
        <f>'Форма 4.1 расч. с 2024 г'!AE50</f>
        <v>0</v>
      </c>
      <c r="AE26" s="80">
        <f>'Форма 4.1 расч. с 2024 г'!AF50</f>
        <v>0</v>
      </c>
      <c r="AF26" s="205"/>
      <c r="AG26" s="205"/>
      <c r="AH26" s="223"/>
      <c r="AI26" s="224"/>
      <c r="AJ26" s="224"/>
      <c r="AK26" s="224"/>
      <c r="AL26" s="157">
        <f>IF(SUM(AH26:AK26)&gt;0,-1,1)</f>
        <v>1</v>
      </c>
    </row>
    <row r="27" spans="4:38" ht="15.75" customHeight="1" x14ac:dyDescent="0.25">
      <c r="D27" s="18">
        <v>15</v>
      </c>
      <c r="AB27" s="70">
        <f t="shared" ref="AB27:AB34" si="1">AB26+1</f>
        <v>3</v>
      </c>
      <c r="AC27" s="72" t="s">
        <v>1018</v>
      </c>
      <c r="AD27" s="80">
        <f>'Форма 4.1 расч. с 2024 г'!AE55</f>
        <v>0</v>
      </c>
      <c r="AE27" s="80">
        <f>'Форма 4.1 расч. с 2024 г'!AF55</f>
        <v>0</v>
      </c>
    </row>
    <row r="28" spans="4:38" ht="15.75" customHeight="1" x14ac:dyDescent="0.25">
      <c r="D28" s="18">
        <v>15</v>
      </c>
      <c r="AB28" s="70">
        <f t="shared" si="1"/>
        <v>4</v>
      </c>
      <c r="AC28" s="72" t="s">
        <v>1088</v>
      </c>
      <c r="AD28" s="72"/>
      <c r="AE28" s="72"/>
    </row>
    <row r="29" spans="4:38" ht="15.75" customHeight="1" x14ac:dyDescent="0.25">
      <c r="D29" s="18">
        <v>15</v>
      </c>
      <c r="AB29" s="70">
        <f t="shared" si="1"/>
        <v>5</v>
      </c>
      <c r="AC29" s="72" t="s">
        <v>1089</v>
      </c>
      <c r="AD29" s="80">
        <f>'Форма 4.1 расч. с 2024 г'!AE61</f>
        <v>-1</v>
      </c>
      <c r="AE29" s="80">
        <f>'Форма 4.1 расч. с 2024 г'!AF61</f>
        <v>-1</v>
      </c>
    </row>
    <row r="30" spans="4:38" ht="15.75" customHeight="1" x14ac:dyDescent="0.25">
      <c r="D30" s="18">
        <v>15</v>
      </c>
      <c r="AB30" s="70">
        <f t="shared" si="1"/>
        <v>6</v>
      </c>
      <c r="AC30" s="72" t="s">
        <v>1090</v>
      </c>
      <c r="AD30" s="72"/>
      <c r="AE30" s="72"/>
    </row>
    <row r="31" spans="4:38" ht="15.75" customHeight="1" x14ac:dyDescent="0.25">
      <c r="D31" s="18">
        <v>15</v>
      </c>
      <c r="AB31" s="70">
        <f t="shared" si="1"/>
        <v>7</v>
      </c>
      <c r="AC31" s="72" t="s">
        <v>1091</v>
      </c>
      <c r="AD31" s="80">
        <f>'Форма 4.1 расч. с 2024 г'!AE63</f>
        <v>0</v>
      </c>
      <c r="AE31" s="80">
        <f>'Форма 4.1 расч. с 2024 г'!AF63</f>
        <v>0</v>
      </c>
    </row>
    <row r="32" spans="4:38" ht="15.75" customHeight="1" x14ac:dyDescent="0.25">
      <c r="D32" s="18">
        <v>15</v>
      </c>
      <c r="AB32" s="70">
        <f t="shared" si="1"/>
        <v>8</v>
      </c>
      <c r="AC32" s="72" t="s">
        <v>1092</v>
      </c>
      <c r="AD32" s="80">
        <f>AD26*0.3+AD27*0.3+AD29*0.3+AD31*0.1</f>
        <v>-0.3</v>
      </c>
      <c r="AE32" s="80">
        <f>AE26*0.3+AE27*0.3+AE29*0.3+AE31*0.1</f>
        <v>-0.3</v>
      </c>
    </row>
    <row r="33" spans="4:39" ht="15.75" customHeight="1" x14ac:dyDescent="0.25">
      <c r="D33" s="18">
        <v>15</v>
      </c>
      <c r="AB33" s="70">
        <f t="shared" si="1"/>
        <v>9</v>
      </c>
      <c r="AC33" s="72" t="s">
        <v>1093</v>
      </c>
      <c r="AD33" s="73"/>
      <c r="AE33" s="225"/>
    </row>
    <row r="34" spans="4:39" ht="34.700000000000003" customHeight="1" x14ac:dyDescent="0.25">
      <c r="D34" s="18">
        <v>33</v>
      </c>
      <c r="AB34" s="70">
        <f t="shared" si="1"/>
        <v>10</v>
      </c>
      <c r="AC34" s="72" t="s">
        <v>1094</v>
      </c>
      <c r="AD34" s="80">
        <f>IF(AD32&gt;0,AD32*AD33*AL26,IF(AL26=1,AD32*AD33*AL26,-AD32*AD33*AL26))</f>
        <v>0</v>
      </c>
      <c r="AE34" s="80">
        <f>IF(AE32&gt;0,AE32*AE33*AL26,IF(AL26=1,AE32*AE33*AL26,-AE32*AE33*AL26))</f>
        <v>0</v>
      </c>
    </row>
    <row r="35" spans="4:39" ht="11.85" customHeight="1" x14ac:dyDescent="0.25">
      <c r="D35" s="18">
        <v>11.25</v>
      </c>
    </row>
    <row r="36" spans="4:39" ht="47.25" customHeight="1" x14ac:dyDescent="0.25">
      <c r="D36" s="18">
        <v>45</v>
      </c>
      <c r="AC36" s="16" t="str">
        <f>IF(LEN(ruk_dol)=0,"",ruk_dol)</f>
        <v>Генеральный директор</v>
      </c>
      <c r="AD36" s="140" t="str">
        <f>IF(LEN(ruk_FIO)=0,"",ruk_FIO)</f>
        <v>Мурадов Сергей Юрьевич</v>
      </c>
      <c r="AE36" s="140" t="str">
        <f>IF(LEN(ruk_FIO)=0,"",ruk_FIO)</f>
        <v>Мурадов Сергей Юрьевич</v>
      </c>
    </row>
    <row r="37" spans="4:39" ht="23.65" customHeight="1" x14ac:dyDescent="0.25">
      <c r="D37" s="18">
        <v>22.5</v>
      </c>
      <c r="AC37" s="86" t="s">
        <v>445</v>
      </c>
      <c r="AD37" s="91" t="s">
        <v>545</v>
      </c>
      <c r="AE37" s="91" t="s">
        <v>545</v>
      </c>
    </row>
    <row r="38" spans="4:39" ht="11.25" hidden="1" customHeight="1" x14ac:dyDescent="0.25">
      <c r="D38" s="19">
        <v>0</v>
      </c>
      <c r="AM38" s="19" t="s">
        <v>457</v>
      </c>
    </row>
  </sheetData>
  <sheetProtection formatColumns="0" formatRows="0" insertRows="0" deleteColumns="0" deleteRows="0" sort="0" autoFilter="0"/>
  <mergeCells count="4">
    <mergeCell ref="AB22:AD22"/>
    <mergeCell ref="AH24:AK24"/>
    <mergeCell ref="AL24:AL25"/>
    <mergeCell ref="AB21:AD21"/>
  </mergeCells>
  <dataValidations count="1">
    <dataValidation type="whole" allowBlank="1" showErrorMessage="1" errorTitle="Ошибка" error="Допускается ввод только неотрицательных целых чисел!" sqref="AH26:AK26" xr:uid="{00000000-0002-0000-1600-000000000000}">
      <formula1>0</formula1>
      <formula2>9.99999999999999E+23</formula2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EB43-A0EA-CB93-7DFB-F61AAF22A509}">
  <sheetPr>
    <tabColor theme="3" tint="0.79998168889431442"/>
    <pageSetUpPr fitToPage="1"/>
  </sheetPr>
  <dimension ref="A1:AL40"/>
  <sheetViews>
    <sheetView showGridLines="0" view="pageBreakPreview" zoomScale="60" zoomScaleNormal="100" workbookViewId="0">
      <pane xSplit="29" ySplit="27" topLeftCell="AD28" activePane="bottomRight" state="frozen"/>
      <selection pane="topRight" activeCell="AD1" sqref="AD1"/>
      <selection pane="bottomLeft" activeCell="A28" sqref="A28"/>
      <selection pane="bottomRight" activeCell="AA20" sqref="AA20"/>
    </sheetView>
  </sheetViews>
  <sheetFormatPr defaultColWidth="9.140625" defaultRowHeight="11.25" customHeight="1" x14ac:dyDescent="0.25"/>
  <cols>
    <col min="1" max="26" width="9.140625" hidden="1"/>
    <col min="27" max="27" width="6" customWidth="1"/>
    <col min="28" max="28" width="5.85546875" customWidth="1"/>
    <col min="29" max="29" width="52.140625" customWidth="1"/>
    <col min="30" max="30" width="15.140625" customWidth="1"/>
    <col min="31" max="32" width="13" customWidth="1"/>
    <col min="33" max="33" width="9.140625" hidden="1"/>
    <col min="34" max="34" width="15.140625" hidden="1" customWidth="1"/>
    <col min="35" max="36" width="13.7109375" hidden="1" customWidth="1"/>
    <col min="37" max="38" width="9.140625" hidden="1"/>
  </cols>
  <sheetData>
    <row r="1" spans="4:38" ht="11.25" hidden="1" customHeight="1" x14ac:dyDescent="0.25"/>
    <row r="2" spans="4:38" ht="10.5" hidden="1" customHeight="1" x14ac:dyDescent="0.25">
      <c r="AH2" s="18" t="b">
        <f>REPORT_OWNER="Версия регулятора"</f>
        <v>0</v>
      </c>
      <c r="AI2" s="18" t="b">
        <f>REPORT_OWNER="Версия регулятора"</f>
        <v>0</v>
      </c>
      <c r="AJ2" s="18" t="b">
        <f>REPORT_OWNER="Версия регулятора"</f>
        <v>0</v>
      </c>
    </row>
    <row r="3" spans="4:38" ht="10.5" hidden="1" customHeight="1" x14ac:dyDescent="0.25"/>
    <row r="4" spans="4:38" ht="10.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5.86</v>
      </c>
      <c r="AC4" s="18">
        <v>52.14</v>
      </c>
      <c r="AD4" s="18">
        <v>14.43</v>
      </c>
      <c r="AE4" s="18">
        <v>13</v>
      </c>
      <c r="AF4" s="18">
        <v>13</v>
      </c>
      <c r="AG4" s="18">
        <v>0</v>
      </c>
      <c r="AH4" s="18">
        <v>14.43</v>
      </c>
      <c r="AI4" s="18">
        <v>13</v>
      </c>
      <c r="AJ4" s="18">
        <v>13</v>
      </c>
      <c r="AK4" s="18">
        <v>0</v>
      </c>
      <c r="AL4" s="19">
        <v>0</v>
      </c>
    </row>
    <row r="5" spans="4:38" ht="10.5" hidden="1" customHeight="1" x14ac:dyDescent="0.25">
      <c r="D5" s="18">
        <v>25</v>
      </c>
    </row>
    <row r="6" spans="4:38" ht="10.5" hidden="1" customHeight="1" x14ac:dyDescent="0.25">
      <c r="D6" s="18">
        <v>25</v>
      </c>
    </row>
    <row r="7" spans="4:38" ht="10.5" hidden="1" customHeight="1" x14ac:dyDescent="0.25">
      <c r="D7" s="18">
        <v>25</v>
      </c>
    </row>
    <row r="8" spans="4:38" ht="10.5" hidden="1" customHeight="1" x14ac:dyDescent="0.25">
      <c r="D8" s="18">
        <v>25</v>
      </c>
    </row>
    <row r="9" spans="4:38" ht="10.5" hidden="1" customHeight="1" x14ac:dyDescent="0.25">
      <c r="D9" s="18">
        <v>25</v>
      </c>
    </row>
    <row r="10" spans="4:38" ht="10.5" hidden="1" customHeight="1" x14ac:dyDescent="0.25">
      <c r="D10" s="18">
        <v>25</v>
      </c>
    </row>
    <row r="11" spans="4:38" ht="10.5" hidden="1" customHeight="1" x14ac:dyDescent="0.25">
      <c r="D11" s="18">
        <v>25</v>
      </c>
    </row>
    <row r="12" spans="4:38" ht="10.5" hidden="1" customHeight="1" x14ac:dyDescent="0.25">
      <c r="D12" s="18">
        <v>25</v>
      </c>
    </row>
    <row r="13" spans="4:38" ht="10.5" hidden="1" customHeight="1" x14ac:dyDescent="0.25">
      <c r="D13" s="18">
        <v>25</v>
      </c>
    </row>
    <row r="14" spans="4:38" ht="10.5" hidden="1" customHeight="1" x14ac:dyDescent="0.25">
      <c r="D14" s="18">
        <v>25</v>
      </c>
    </row>
    <row r="15" spans="4:38" ht="10.5" hidden="1" customHeight="1" x14ac:dyDescent="0.25">
      <c r="D15" s="18">
        <v>25</v>
      </c>
    </row>
    <row r="16" spans="4:38" ht="10.5" hidden="1" customHeight="1" x14ac:dyDescent="0.25">
      <c r="D16" s="18">
        <v>25</v>
      </c>
    </row>
    <row r="17" spans="4:37" ht="10.5" hidden="1" customHeight="1" x14ac:dyDescent="0.25">
      <c r="D17" s="18">
        <v>25</v>
      </c>
    </row>
    <row r="18" spans="4:37" ht="10.5" hidden="1" customHeight="1" x14ac:dyDescent="0.25">
      <c r="D18" s="18">
        <v>25</v>
      </c>
    </row>
    <row r="19" spans="4:37" ht="10.5" hidden="1" customHeight="1" x14ac:dyDescent="0.25">
      <c r="D19" s="18">
        <v>25</v>
      </c>
    </row>
    <row r="20" spans="4:37" ht="15.75" customHeight="1" x14ac:dyDescent="0.25">
      <c r="D20" s="18">
        <v>15</v>
      </c>
    </row>
    <row r="21" spans="4:37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37" ht="25.9" customHeight="1" x14ac:dyDescent="0.25">
      <c r="D22" s="18">
        <v>24.75</v>
      </c>
      <c r="AB22" s="269" t="s">
        <v>1095</v>
      </c>
      <c r="AC22" s="269"/>
      <c r="AD22" s="269"/>
      <c r="AE22" s="269"/>
      <c r="AF22" s="269"/>
    </row>
    <row r="23" spans="4:37" ht="3.75" customHeight="1" x14ac:dyDescent="0.25">
      <c r="D23" s="18">
        <v>3.75</v>
      </c>
      <c r="AB23" s="252"/>
      <c r="AC23" s="252"/>
      <c r="AD23" s="252"/>
      <c r="AE23" s="252"/>
      <c r="AF23" s="252"/>
    </row>
    <row r="24" spans="4:37" ht="25.15" customHeight="1" x14ac:dyDescent="0.25">
      <c r="D24" s="18">
        <v>24</v>
      </c>
      <c r="AB24" s="289" t="s">
        <v>487</v>
      </c>
      <c r="AC24" s="289" t="s">
        <v>1096</v>
      </c>
      <c r="AD24" s="293" t="str">
        <f>IF(PRD="","Не определено",PRD)&amp;" год"</f>
        <v>2023 год</v>
      </c>
      <c r="AE24" s="293"/>
      <c r="AF24" s="293"/>
      <c r="AH24" s="328" t="str">
        <f>IF(PRD="","Не определено",PRD)&amp;" год"</f>
        <v>2023 год</v>
      </c>
      <c r="AI24" s="328"/>
      <c r="AJ24" s="328"/>
    </row>
    <row r="25" spans="4:37" ht="54.4" customHeight="1" x14ac:dyDescent="0.25">
      <c r="D25" s="18">
        <v>51.75</v>
      </c>
      <c r="AB25" s="289"/>
      <c r="AC25" s="289"/>
      <c r="AD25" s="289" t="s">
        <v>1097</v>
      </c>
      <c r="AE25" s="289" t="s">
        <v>1098</v>
      </c>
      <c r="AF25" s="289"/>
      <c r="AH25" s="289" t="s">
        <v>1097</v>
      </c>
      <c r="AI25" s="289" t="s">
        <v>1098</v>
      </c>
      <c r="AJ25" s="289"/>
    </row>
    <row r="26" spans="4:37" ht="54.4" customHeight="1" x14ac:dyDescent="0.25">
      <c r="D26" s="18">
        <v>51.75</v>
      </c>
      <c r="AB26" s="289"/>
      <c r="AC26" s="289"/>
      <c r="AD26" s="289"/>
      <c r="AE26" s="55" t="s">
        <v>488</v>
      </c>
      <c r="AF26" s="70" t="s">
        <v>1099</v>
      </c>
      <c r="AH26" s="289"/>
      <c r="AI26" s="55" t="s">
        <v>488</v>
      </c>
      <c r="AJ26" s="70" t="s">
        <v>1099</v>
      </c>
    </row>
    <row r="27" spans="4:37" ht="6.4" customHeight="1" x14ac:dyDescent="0.25">
      <c r="D27" s="18">
        <v>6</v>
      </c>
    </row>
    <row r="28" spans="4:37" ht="59.25" customHeight="1" x14ac:dyDescent="0.25">
      <c r="D28" s="18">
        <v>25.5</v>
      </c>
      <c r="AB28" s="55" t="s">
        <v>58</v>
      </c>
      <c r="AC28" s="72" t="s">
        <v>1100</v>
      </c>
      <c r="AD28" s="158">
        <v>1049.72</v>
      </c>
      <c r="AE28" s="159" t="s">
        <v>1101</v>
      </c>
      <c r="AF28" s="159" t="s">
        <v>1101</v>
      </c>
      <c r="AH28" s="226"/>
      <c r="AI28" s="227"/>
      <c r="AJ28" s="227"/>
    </row>
    <row r="29" spans="4:37" ht="53.25" customHeight="1" x14ac:dyDescent="0.25">
      <c r="D29" s="18">
        <v>25.5</v>
      </c>
      <c r="AB29" s="55" t="s">
        <v>492</v>
      </c>
      <c r="AC29" s="72" t="s">
        <v>1102</v>
      </c>
      <c r="AD29" s="158">
        <v>596.58000000000004</v>
      </c>
      <c r="AE29" s="159" t="s">
        <v>1101</v>
      </c>
      <c r="AF29" s="159" t="s">
        <v>1101</v>
      </c>
      <c r="AH29" s="226"/>
      <c r="AI29" s="227"/>
      <c r="AJ29" s="227"/>
    </row>
    <row r="30" spans="4:37" ht="36.950000000000003" customHeight="1" x14ac:dyDescent="0.25">
      <c r="D30" s="18">
        <v>35.25</v>
      </c>
      <c r="AB30" s="55" t="s">
        <v>88</v>
      </c>
      <c r="AC30" s="72" t="s">
        <v>1103</v>
      </c>
      <c r="AD30" s="160">
        <f>IF(AD28=0,0,AD29/AD28)</f>
        <v>0.56832298136645965</v>
      </c>
      <c r="AE30" s="72"/>
      <c r="AF30" s="72"/>
      <c r="AG30" s="87">
        <f>IFERROR(AD31/AD28,0)</f>
        <v>51.638532180009904</v>
      </c>
      <c r="AH30" s="160">
        <f>IF(AH28=0,0,AH29/AH28)</f>
        <v>0</v>
      </c>
      <c r="AI30" s="72"/>
      <c r="AJ30" s="72"/>
      <c r="AK30" s="87">
        <f>IFERROR(AH31/AH28,0)</f>
        <v>0</v>
      </c>
    </row>
    <row r="31" spans="4:37" ht="44.25" customHeight="1" x14ac:dyDescent="0.25">
      <c r="D31" s="18">
        <v>15</v>
      </c>
      <c r="AB31" s="55" t="s">
        <v>95</v>
      </c>
      <c r="AC31" s="72" t="s">
        <v>1104</v>
      </c>
      <c r="AD31" s="74">
        <f>'ф.8.3 Индикатив'!AD27</f>
        <v>54206</v>
      </c>
      <c r="AE31" s="159" t="s">
        <v>1105</v>
      </c>
      <c r="AF31" s="159" t="s">
        <v>1105</v>
      </c>
      <c r="AH31" s="74">
        <f>'ф.8.3 Индикатив'!AE27</f>
        <v>54206</v>
      </c>
      <c r="AI31" s="227"/>
      <c r="AJ31" s="227"/>
    </row>
    <row r="32" spans="4:37" ht="40.5" customHeight="1" x14ac:dyDescent="0.25">
      <c r="D32" s="18">
        <v>15</v>
      </c>
      <c r="AB32" s="55" t="s">
        <v>103</v>
      </c>
      <c r="AC32" s="72" t="s">
        <v>1106</v>
      </c>
      <c r="AD32" s="114">
        <v>2003</v>
      </c>
      <c r="AE32" s="159" t="s">
        <v>1107</v>
      </c>
      <c r="AF32" s="159" t="s">
        <v>1107</v>
      </c>
      <c r="AH32" s="202"/>
      <c r="AI32" s="227"/>
      <c r="AJ32" s="227"/>
    </row>
    <row r="33" spans="4:38" ht="45.75" customHeight="1" x14ac:dyDescent="0.25">
      <c r="D33" s="18">
        <v>15</v>
      </c>
      <c r="AB33" s="55" t="s">
        <v>537</v>
      </c>
      <c r="AC33" s="72" t="s">
        <v>1108</v>
      </c>
      <c r="AD33" s="158">
        <v>20</v>
      </c>
      <c r="AE33" s="159" t="s">
        <v>1109</v>
      </c>
      <c r="AF33" s="159" t="s">
        <v>1110</v>
      </c>
      <c r="AH33" s="226"/>
      <c r="AI33" s="227"/>
      <c r="AJ33" s="227"/>
    </row>
    <row r="34" spans="4:38" ht="26.85" customHeight="1" x14ac:dyDescent="0.25">
      <c r="D34" s="18">
        <v>25.5</v>
      </c>
      <c r="AB34" s="55" t="s">
        <v>543</v>
      </c>
      <c r="AC34" s="72" t="s">
        <v>1111</v>
      </c>
      <c r="AD34" s="74">
        <f>MATCH(1,'Ф9.1Ф9.2'!$AD$27:$AD$35,0)</f>
        <v>5</v>
      </c>
      <c r="AE34" s="72"/>
      <c r="AF34" s="72"/>
      <c r="AH34" s="74">
        <f>MATCH(1,'Ф9.1Ф9.2'!$AI$27:$AI$35,0)</f>
        <v>9</v>
      </c>
      <c r="AI34" s="72"/>
      <c r="AJ34" s="72"/>
    </row>
    <row r="35" spans="4:38" ht="26.85" customHeight="1" x14ac:dyDescent="0.25">
      <c r="D35" s="18">
        <v>25.5</v>
      </c>
      <c r="AB35" s="55" t="s">
        <v>617</v>
      </c>
      <c r="AC35" s="72" t="s">
        <v>1112</v>
      </c>
      <c r="AD35" s="74">
        <f>MATCH(1,'Ф9.1Ф9.2'!$AD$42:$AD$49,0)</f>
        <v>5</v>
      </c>
      <c r="AE35" s="72"/>
      <c r="AF35" s="72"/>
      <c r="AH35" s="74">
        <f>MATCH(1,'Ф9.1Ф9.2'!$AI$42:$AI$49,0)</f>
        <v>8</v>
      </c>
      <c r="AI35" s="72"/>
      <c r="AJ35" s="72"/>
    </row>
    <row r="36" spans="4:38" ht="11.85" customHeight="1" x14ac:dyDescent="0.25">
      <c r="D36" s="18">
        <v>11.25</v>
      </c>
      <c r="AB36" s="84"/>
      <c r="AC36" s="16"/>
      <c r="AD36" s="16"/>
      <c r="AE36" s="16"/>
      <c r="AF36" s="97"/>
      <c r="AH36" s="16"/>
      <c r="AI36" s="16"/>
      <c r="AJ36" s="97"/>
    </row>
    <row r="37" spans="4:38" ht="47.25" customHeight="1" x14ac:dyDescent="0.25">
      <c r="D37" s="18">
        <v>45</v>
      </c>
      <c r="AC37" s="16" t="str">
        <f>IF(LEN(ruk_dol)=0,"",ruk_dol)</f>
        <v>Генеральный директор</v>
      </c>
      <c r="AD37" s="277" t="str">
        <f>IF(LEN(ruk_FIO)=0,"",ruk_FIO)</f>
        <v>Мурадов Сергей Юрьевич</v>
      </c>
      <c r="AE37" s="277"/>
      <c r="AF37" s="143"/>
      <c r="AH37" s="277" t="str">
        <f>IF(LEN(ruk_FIO)=0,"",ruk_FIO)</f>
        <v>Мурадов Сергей Юрьевич</v>
      </c>
      <c r="AI37" s="277"/>
      <c r="AJ37" s="143"/>
    </row>
    <row r="38" spans="4:38" ht="11.85" customHeight="1" x14ac:dyDescent="0.25">
      <c r="D38" s="18">
        <v>11.25</v>
      </c>
      <c r="AC38" s="86" t="s">
        <v>445</v>
      </c>
      <c r="AD38" s="279" t="s">
        <v>545</v>
      </c>
      <c r="AE38" s="252"/>
      <c r="AF38" s="144" t="s">
        <v>546</v>
      </c>
      <c r="AH38" s="279" t="s">
        <v>545</v>
      </c>
      <c r="AI38" s="252"/>
      <c r="AJ38" s="144" t="s">
        <v>546</v>
      </c>
    </row>
    <row r="39" spans="4:38" ht="34.700000000000003" customHeight="1" x14ac:dyDescent="0.25">
      <c r="D39" s="18">
        <v>33</v>
      </c>
      <c r="AB39" s="113"/>
      <c r="AC39" s="113"/>
      <c r="AD39" s="108"/>
      <c r="AE39" s="108"/>
      <c r="AF39" s="108"/>
      <c r="AH39" s="108"/>
      <c r="AI39" s="108"/>
      <c r="AJ39" s="108"/>
    </row>
    <row r="40" spans="4:38" ht="11.25" hidden="1" customHeight="1" x14ac:dyDescent="0.25">
      <c r="D40" s="19">
        <v>0</v>
      </c>
      <c r="AL40" t="s">
        <v>457</v>
      </c>
    </row>
  </sheetData>
  <sheetProtection formatColumns="0" formatRows="0" insertRows="0" deleteColumns="0" deleteRows="0" sort="0" autoFilter="0"/>
  <mergeCells count="15">
    <mergeCell ref="AD37:AE37"/>
    <mergeCell ref="AD38:AE38"/>
    <mergeCell ref="AH24:AJ24"/>
    <mergeCell ref="AH25:AH26"/>
    <mergeCell ref="AI25:AJ25"/>
    <mergeCell ref="AH37:AI37"/>
    <mergeCell ref="AH38:AI38"/>
    <mergeCell ref="AB21:AD21"/>
    <mergeCell ref="AB22:AF22"/>
    <mergeCell ref="AB23:AF23"/>
    <mergeCell ref="AC24:AC26"/>
    <mergeCell ref="AB24:AB26"/>
    <mergeCell ref="AD25:AD26"/>
    <mergeCell ref="AE25:AF25"/>
    <mergeCell ref="AD24:AF24"/>
  </mergeCells>
  <dataValidations count="3">
    <dataValidation type="decimal" allowBlank="1" showErrorMessage="1" errorTitle="Ошибка" error="Допускается ввод только неотрицательных чисел!" sqref="AD33 AH33 AD28:AD29 AH28:AH29" xr:uid="{00000000-0002-0000-1700-000000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AD31:AD32 AH31:AH32 AD34:AD35 AH34:AH35" xr:uid="{00000000-0002-0000-1700-000001000000}">
      <formula1>0</formula1>
      <formula2>9.99999999999999E+23</formula2>
    </dataValidation>
    <dataValidation type="decimal" allowBlank="1" showErrorMessage="1" errorTitle="Ошибка" error="Некорректное значение! Доля не может превышать 100%." sqref="AH30 AD30" xr:uid="{00000000-0002-0000-1700-000002000000}">
      <formula1>0</formula1>
      <formula2>1</formula2>
    </dataValidation>
  </dataValidations>
  <pageMargins left="0.7" right="0.7" top="0.75" bottom="0.75" header="0.3" footer="0.3"/>
  <pageSetup paperSize="9" scale="83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5ACF-E84C-3ECC-1321-CEDD0C3CA134}">
  <sheetPr>
    <tabColor theme="3" tint="0.79998168889431442"/>
    <pageSetUpPr fitToPage="1"/>
  </sheetPr>
  <dimension ref="A1:AR50"/>
  <sheetViews>
    <sheetView showGridLines="0" view="pageBreakPreview" topLeftCell="AA20" zoomScale="60" zoomScaleNormal="100" workbookViewId="0">
      <selection activeCell="BA32" sqref="BA32"/>
    </sheetView>
  </sheetViews>
  <sheetFormatPr defaultRowHeight="11.25" customHeight="1" x14ac:dyDescent="0.25"/>
  <cols>
    <col min="1" max="26" width="9.140625" hidden="1"/>
    <col min="27" max="27" width="6" customWidth="1"/>
    <col min="28" max="28" width="3" customWidth="1"/>
    <col min="29" max="29" width="71.7109375" customWidth="1"/>
    <col min="30" max="34" width="13.7109375" customWidth="1"/>
    <col min="35" max="39" width="13.7109375" hidden="1" customWidth="1"/>
    <col min="40" max="40" width="22" customWidth="1"/>
    <col min="41" max="41" width="25" customWidth="1"/>
    <col min="42" max="43" width="19.85546875" customWidth="1"/>
    <col min="44" max="44" width="9.140625" hidden="1"/>
  </cols>
  <sheetData>
    <row r="1" spans="4:44" ht="11.25" hidden="1" customHeight="1" x14ac:dyDescent="0.25"/>
    <row r="2" spans="4:44" ht="20.25" hidden="1" customHeight="1" x14ac:dyDescent="0.25">
      <c r="AI2" s="18" t="b">
        <f>REPORT_OWNER="Версия регулятора"</f>
        <v>0</v>
      </c>
      <c r="AJ2" s="18" t="b">
        <f>REPORT_OWNER="Версия регулятора"</f>
        <v>0</v>
      </c>
      <c r="AK2" s="18" t="b">
        <f>REPORT_OWNER="Версия регулятора"</f>
        <v>0</v>
      </c>
      <c r="AL2" s="18" t="b">
        <f>REPORT_OWNER="Версия регулятора"</f>
        <v>0</v>
      </c>
      <c r="AM2" s="18" t="b">
        <f>REPORT_OWNER="Версия регулятора"</f>
        <v>0</v>
      </c>
    </row>
    <row r="3" spans="4:44" ht="20.25" hidden="1" customHeight="1" x14ac:dyDescent="0.25"/>
    <row r="4" spans="4:44" ht="20.25" hidden="1" customHeight="1" x14ac:dyDescent="0.25">
      <c r="D4" s="18">
        <v>25</v>
      </c>
      <c r="E4" s="18">
        <v>8</v>
      </c>
      <c r="F4" s="18">
        <v>8</v>
      </c>
      <c r="G4" s="18">
        <v>8</v>
      </c>
      <c r="H4" s="18">
        <v>8</v>
      </c>
      <c r="I4" s="18">
        <v>8</v>
      </c>
      <c r="J4" s="18">
        <v>8</v>
      </c>
      <c r="K4" s="18">
        <v>8</v>
      </c>
      <c r="L4" s="18">
        <v>8</v>
      </c>
      <c r="M4" s="18">
        <v>8</v>
      </c>
      <c r="N4" s="18">
        <v>8</v>
      </c>
      <c r="O4" s="18">
        <v>8</v>
      </c>
      <c r="P4" s="18">
        <v>8</v>
      </c>
      <c r="Q4" s="18">
        <v>8</v>
      </c>
      <c r="R4" s="18">
        <v>8</v>
      </c>
      <c r="S4" s="18">
        <v>8</v>
      </c>
      <c r="T4" s="18">
        <v>8</v>
      </c>
      <c r="U4" s="18">
        <v>8</v>
      </c>
      <c r="V4" s="18">
        <v>8</v>
      </c>
      <c r="W4" s="18">
        <v>8</v>
      </c>
      <c r="X4" s="18">
        <v>8</v>
      </c>
      <c r="Y4" s="18">
        <v>8</v>
      </c>
      <c r="Z4" s="18">
        <v>8</v>
      </c>
      <c r="AA4" s="18">
        <v>6</v>
      </c>
      <c r="AB4" s="18">
        <v>3</v>
      </c>
      <c r="AC4" s="18">
        <v>71.709999999999994</v>
      </c>
      <c r="AD4" s="18">
        <v>13</v>
      </c>
      <c r="AE4" s="18">
        <v>13</v>
      </c>
      <c r="AF4" s="18">
        <v>13</v>
      </c>
      <c r="AG4" s="18">
        <v>13</v>
      </c>
      <c r="AH4" s="18">
        <v>13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22</v>
      </c>
      <c r="AO4" s="18">
        <v>25</v>
      </c>
      <c r="AP4" s="18">
        <v>19.86</v>
      </c>
      <c r="AQ4" s="18">
        <v>19.86</v>
      </c>
      <c r="AR4" s="19">
        <v>0</v>
      </c>
    </row>
    <row r="5" spans="4:44" ht="20.25" hidden="1" customHeight="1" x14ac:dyDescent="0.25">
      <c r="D5" s="18">
        <v>25</v>
      </c>
    </row>
    <row r="6" spans="4:44" ht="20.25" hidden="1" customHeight="1" x14ac:dyDescent="0.25">
      <c r="D6" s="18">
        <v>25</v>
      </c>
    </row>
    <row r="7" spans="4:44" ht="20.25" hidden="1" customHeight="1" x14ac:dyDescent="0.25">
      <c r="D7" s="18">
        <v>25</v>
      </c>
    </row>
    <row r="8" spans="4:44" ht="20.25" hidden="1" customHeight="1" x14ac:dyDescent="0.25">
      <c r="D8" s="18">
        <v>25</v>
      </c>
    </row>
    <row r="9" spans="4:44" ht="20.25" hidden="1" customHeight="1" x14ac:dyDescent="0.25">
      <c r="D9" s="18">
        <v>25</v>
      </c>
    </row>
    <row r="10" spans="4:44" ht="20.25" hidden="1" customHeight="1" x14ac:dyDescent="0.25">
      <c r="D10" s="18">
        <v>25</v>
      </c>
    </row>
    <row r="11" spans="4:44" ht="20.25" hidden="1" customHeight="1" x14ac:dyDescent="0.25">
      <c r="D11" s="18">
        <v>25</v>
      </c>
    </row>
    <row r="12" spans="4:44" ht="20.25" hidden="1" customHeight="1" x14ac:dyDescent="0.25">
      <c r="D12" s="18">
        <v>25</v>
      </c>
    </row>
    <row r="13" spans="4:44" ht="20.25" hidden="1" customHeight="1" x14ac:dyDescent="0.25">
      <c r="D13" s="18">
        <v>25</v>
      </c>
    </row>
    <row r="14" spans="4:44" ht="20.25" hidden="1" customHeight="1" x14ac:dyDescent="0.25">
      <c r="D14" s="18">
        <v>25</v>
      </c>
    </row>
    <row r="15" spans="4:44" ht="20.25" hidden="1" customHeight="1" x14ac:dyDescent="0.25">
      <c r="D15" s="18">
        <v>25</v>
      </c>
    </row>
    <row r="16" spans="4:44" ht="20.25" hidden="1" customHeight="1" x14ac:dyDescent="0.25">
      <c r="D16" s="18">
        <v>25</v>
      </c>
    </row>
    <row r="17" spans="4:43" ht="20.25" hidden="1" customHeight="1" x14ac:dyDescent="0.25">
      <c r="D17" s="18">
        <v>25</v>
      </c>
    </row>
    <row r="18" spans="4:43" ht="20.25" hidden="1" customHeight="1" x14ac:dyDescent="0.25">
      <c r="D18" s="18">
        <v>25</v>
      </c>
    </row>
    <row r="19" spans="4:43" ht="20.25" hidden="1" customHeight="1" x14ac:dyDescent="0.25">
      <c r="D19" s="18">
        <v>25</v>
      </c>
    </row>
    <row r="20" spans="4:43" ht="15.75" customHeight="1" x14ac:dyDescent="0.25">
      <c r="D20" s="18">
        <v>15</v>
      </c>
    </row>
    <row r="21" spans="4:43" ht="36.75" customHeight="1" x14ac:dyDescent="0.25">
      <c r="D21" s="18">
        <v>35</v>
      </c>
      <c r="AB21" s="286" t="str">
        <f>ORG</f>
        <v>АО "КСК"</v>
      </c>
      <c r="AC21" s="287"/>
      <c r="AD21" s="287"/>
    </row>
    <row r="22" spans="4:43" s="229" customFormat="1" ht="72" customHeight="1" x14ac:dyDescent="0.25">
      <c r="D22" s="239">
        <v>30</v>
      </c>
      <c r="AB22" s="333" t="s">
        <v>1113</v>
      </c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</row>
    <row r="23" spans="4:43" s="229" customFormat="1" ht="5.45" customHeight="1" x14ac:dyDescent="0.25">
      <c r="D23" s="239">
        <v>5.25</v>
      </c>
    </row>
    <row r="24" spans="4:43" s="229" customFormat="1" ht="33.950000000000003" customHeight="1" x14ac:dyDescent="0.25">
      <c r="D24" s="239">
        <v>32.25</v>
      </c>
      <c r="AB24" s="334" t="s">
        <v>487</v>
      </c>
      <c r="AC24" s="335" t="s">
        <v>1114</v>
      </c>
      <c r="AD24" s="334" t="s">
        <v>1115</v>
      </c>
      <c r="AE24" s="334" t="s">
        <v>1116</v>
      </c>
      <c r="AF24" s="334" t="s">
        <v>1117</v>
      </c>
      <c r="AG24" s="334" t="s">
        <v>1118</v>
      </c>
      <c r="AH24" s="334" t="s">
        <v>1119</v>
      </c>
      <c r="AI24" s="337" t="s">
        <v>641</v>
      </c>
      <c r="AJ24" s="338"/>
      <c r="AK24" s="338"/>
      <c r="AL24" s="338"/>
      <c r="AM24" s="339"/>
      <c r="AN24" s="336" t="s">
        <v>1120</v>
      </c>
      <c r="AO24" s="334" t="s">
        <v>1121</v>
      </c>
      <c r="AP24" s="334" t="s">
        <v>1122</v>
      </c>
      <c r="AQ24" s="334"/>
    </row>
    <row r="25" spans="4:43" s="229" customFormat="1" ht="15.75" customHeight="1" x14ac:dyDescent="0.25">
      <c r="D25" s="239">
        <v>15</v>
      </c>
      <c r="AB25" s="334"/>
      <c r="AC25" s="335"/>
      <c r="AD25" s="334"/>
      <c r="AE25" s="334"/>
      <c r="AF25" s="334"/>
      <c r="AG25" s="334"/>
      <c r="AH25" s="334"/>
      <c r="AI25" s="240" t="s">
        <v>1123</v>
      </c>
      <c r="AJ25" s="240" t="s">
        <v>1116</v>
      </c>
      <c r="AK25" s="240" t="s">
        <v>1117</v>
      </c>
      <c r="AL25" s="240" t="s">
        <v>1118</v>
      </c>
      <c r="AM25" s="240" t="s">
        <v>1119</v>
      </c>
      <c r="AN25" s="336"/>
      <c r="AO25" s="334"/>
      <c r="AP25" s="241" t="str">
        <f>IF(FIRST_PERIOD_IN_LT="","Не определено",FIRST_PERIOD_IN_LT)&amp;" год"</f>
        <v>2020 год</v>
      </c>
      <c r="AQ25" s="241" t="str">
        <f>IF(FIRST_PERIOD_IN_LT="","Не определено",FIRST_PERIOD_IN_LT+1)&amp;" год"</f>
        <v>2021 год</v>
      </c>
    </row>
    <row r="26" spans="4:43" s="229" customFormat="1" ht="12.6" customHeight="1" x14ac:dyDescent="0.25">
      <c r="D26" s="239">
        <v>12</v>
      </c>
      <c r="AB26" s="242">
        <v>1</v>
      </c>
      <c r="AC26" s="242">
        <v>2</v>
      </c>
      <c r="AD26" s="242">
        <v>3</v>
      </c>
      <c r="AE26" s="242">
        <v>4</v>
      </c>
      <c r="AF26" s="242">
        <v>5</v>
      </c>
      <c r="AG26" s="242">
        <v>6</v>
      </c>
      <c r="AH26" s="242">
        <v>7</v>
      </c>
      <c r="AN26" s="242">
        <v>8</v>
      </c>
      <c r="AO26" s="242">
        <v>9</v>
      </c>
      <c r="AP26" s="242">
        <v>10</v>
      </c>
      <c r="AQ26" s="242">
        <v>11</v>
      </c>
    </row>
    <row r="27" spans="4:43" s="229" customFormat="1" ht="54.75" customHeight="1" x14ac:dyDescent="0.25">
      <c r="D27" s="239">
        <v>25.5</v>
      </c>
      <c r="AB27" s="243">
        <v>1</v>
      </c>
      <c r="AC27" s="244" t="s">
        <v>1124</v>
      </c>
      <c r="AD27" s="245">
        <f>IF(SUM(AE27,AF27,AG27)=3,1,0)</f>
        <v>0</v>
      </c>
      <c r="AE27" s="245">
        <f>IF('ф.1.9 Характеристика'!$AD$28&gt;=7500,1,0)</f>
        <v>0</v>
      </c>
      <c r="AF27" s="245">
        <f>IF('ф.1.9 Характеристика'!$AD$30&lt;0.1,1,0)</f>
        <v>0</v>
      </c>
      <c r="AG27" s="246">
        <f>IF('ф.1.9 Характеристика'!AD33&gt;=20,1,0)</f>
        <v>1</v>
      </c>
      <c r="AH27" s="244"/>
      <c r="AI27" s="245">
        <f>IF(SUM(AJ27,AK27,AL27)=3,1,0)</f>
        <v>0</v>
      </c>
      <c r="AJ27" s="245">
        <f>IF('ф.1.9 Характеристика'!$AH$28&gt;=7500,1,0)</f>
        <v>0</v>
      </c>
      <c r="AK27" s="245">
        <f>IF('ф.1.9 Характеристика'!$AH$30&lt;0.1,1,0)</f>
        <v>1</v>
      </c>
      <c r="AL27" s="245">
        <f>IF('ф.1.9 Характеристика'!AH33&gt;=20,1,0)</f>
        <v>0</v>
      </c>
      <c r="AM27" s="246" t="s">
        <v>1125</v>
      </c>
      <c r="AN27" s="247">
        <v>9.6239000000000008</v>
      </c>
      <c r="AO27" s="248">
        <v>9.2490000000000003E-2</v>
      </c>
      <c r="AP27" s="248">
        <v>0.3</v>
      </c>
      <c r="AQ27" s="248">
        <v>0.3</v>
      </c>
    </row>
    <row r="28" spans="4:43" s="229" customFormat="1" ht="54.75" customHeight="1" x14ac:dyDescent="0.25">
      <c r="D28" s="239">
        <v>25.5</v>
      </c>
      <c r="AB28" s="243">
        <v>2</v>
      </c>
      <c r="AC28" s="244" t="s">
        <v>1126</v>
      </c>
      <c r="AD28" s="245">
        <f>IF(SUM(AE28,AF28,AG28,AH28)=4,1,0)</f>
        <v>0</v>
      </c>
      <c r="AE28" s="245">
        <f>IF('ф.1.9 Характеристика'!$AD$28&gt;=7500,1,0)</f>
        <v>0</v>
      </c>
      <c r="AF28" s="245">
        <f>IF('ф.1.9 Характеристика'!$AD$30&lt;0.1,1,0)</f>
        <v>0</v>
      </c>
      <c r="AG28" s="246">
        <f>IF('ф.1.9 Характеристика'!AD33&lt;20,1,0)</f>
        <v>0</v>
      </c>
      <c r="AH28" s="246">
        <f>IF('ф.1.9 Характеристика'!AD32&lt;25000,1,0)</f>
        <v>1</v>
      </c>
      <c r="AI28" s="245">
        <f>IF(SUM(AJ28,AK28,AL28,AM28)=4,1,0)</f>
        <v>0</v>
      </c>
      <c r="AJ28" s="245">
        <f>IF('ф.1.9 Характеристика'!$AH$28&gt;=7500,1,0)</f>
        <v>0</v>
      </c>
      <c r="AK28" s="245">
        <f>IF('ф.1.9 Характеристика'!$AH$30&lt;0.1,1,0)</f>
        <v>1</v>
      </c>
      <c r="AL28" s="245">
        <f>IF('ф.1.9 Характеристика'!AH33&lt;20,1,0)</f>
        <v>1</v>
      </c>
      <c r="AM28" s="245">
        <f>IF('ф.1.9 Характеристика'!AH32&lt;25000,1,0)</f>
        <v>1</v>
      </c>
      <c r="AN28" s="248">
        <v>4.7397600000000004</v>
      </c>
      <c r="AO28" s="248">
        <v>8.9580000000000007E-2</v>
      </c>
      <c r="AP28" s="248">
        <v>0.3</v>
      </c>
      <c r="AQ28" s="248">
        <v>0.3</v>
      </c>
    </row>
    <row r="29" spans="4:43" s="229" customFormat="1" ht="54.75" customHeight="1" x14ac:dyDescent="0.25">
      <c r="D29" s="239">
        <v>25.5</v>
      </c>
      <c r="AB29" s="243" t="s">
        <v>88</v>
      </c>
      <c r="AC29" s="244" t="s">
        <v>1127</v>
      </c>
      <c r="AD29" s="245">
        <f>IF(SUM(AE29,AF29,AG29)=3,1,0)</f>
        <v>0</v>
      </c>
      <c r="AE29" s="245">
        <f>IF('ф.1.9 Характеристика'!$AD$28&gt;=7500,1,0)</f>
        <v>0</v>
      </c>
      <c r="AF29" s="245">
        <f>IF('ф.1.9 Характеристика'!$AD$30&lt;0.1,1,0)</f>
        <v>0</v>
      </c>
      <c r="AG29" s="246">
        <f>IF('ф.1.9 Характеристика'!AD33&lt;20,1,0)</f>
        <v>0</v>
      </c>
      <c r="AH29" s="245">
        <f>IF('ф.1.9 Характеристика'!AD32&gt;=25000,1,0)</f>
        <v>0</v>
      </c>
      <c r="AI29" s="245">
        <f>IF(SUM(AJ29,AK29,AL29)=3,1,0)</f>
        <v>0</v>
      </c>
      <c r="AJ29" s="245">
        <f>IF('ф.1.9 Характеристика'!$AH$28&gt;=7500,1,0)</f>
        <v>0</v>
      </c>
      <c r="AK29" s="245">
        <f>IF('ф.1.9 Характеристика'!$AH$30&lt;0.1,1,0)</f>
        <v>1</v>
      </c>
      <c r="AL29" s="245">
        <f>IF('ф.1.9 Характеристика'!AH33&lt;20,1,0)</f>
        <v>1</v>
      </c>
      <c r="AM29" s="246" t="s">
        <v>1125</v>
      </c>
      <c r="AN29" s="248">
        <v>2.9252099999999999</v>
      </c>
      <c r="AO29" s="248">
        <v>9.1189999999999993E-2</v>
      </c>
      <c r="AP29" s="248">
        <v>0.3</v>
      </c>
      <c r="AQ29" s="248">
        <v>0.3</v>
      </c>
    </row>
    <row r="30" spans="4:43" s="229" customFormat="1" ht="54.75" customHeight="1" x14ac:dyDescent="0.25">
      <c r="D30" s="239">
        <v>15</v>
      </c>
      <c r="AB30" s="243" t="s">
        <v>95</v>
      </c>
      <c r="AC30" s="244" t="s">
        <v>1128</v>
      </c>
      <c r="AD30" s="245">
        <f>IF(SUM(AE30,AF30,)=2,1,0)</f>
        <v>0</v>
      </c>
      <c r="AE30" s="245">
        <f>IF('ф.1.9 Характеристика'!$AD$28&gt;=7500,1,0)</f>
        <v>0</v>
      </c>
      <c r="AF30" s="245">
        <f>IF(OR('ф.1.9 Характеристика'!$AD$30&gt;0.1,'ф.1.9 Характеристика'!$AD$30=0.1),1,0)</f>
        <v>1</v>
      </c>
      <c r="AG30" s="244"/>
      <c r="AH30" s="244"/>
      <c r="AI30" s="245">
        <f>IF(SUM(AJ30,AK30,)=2,1,0)</f>
        <v>0</v>
      </c>
      <c r="AJ30" s="245">
        <f>IF('ф.1.9 Характеристика'!$AH$28&gt;=7500,1,0)</f>
        <v>0</v>
      </c>
      <c r="AK30" s="245">
        <f>IF(OR('ф.1.9 Характеристика'!$AH$30&gt;0.1,'ф.1.9 Характеристика'!$AH$30=0.1),1,0)</f>
        <v>0</v>
      </c>
      <c r="AL30" s="246" t="s">
        <v>1125</v>
      </c>
      <c r="AM30" s="246" t="s">
        <v>1125</v>
      </c>
      <c r="AN30" s="248">
        <v>3.3357999999999999</v>
      </c>
      <c r="AO30" s="248">
        <v>0.13389999999999999</v>
      </c>
      <c r="AP30" s="248">
        <v>0.3</v>
      </c>
      <c r="AQ30" s="248">
        <v>0.3</v>
      </c>
    </row>
    <row r="31" spans="4:43" s="229" customFormat="1" ht="54.75" customHeight="1" x14ac:dyDescent="0.25">
      <c r="D31" s="239">
        <v>15</v>
      </c>
      <c r="AB31" s="243" t="s">
        <v>103</v>
      </c>
      <c r="AC31" s="244" t="s">
        <v>1129</v>
      </c>
      <c r="AD31" s="245">
        <f>IF(SUM(AE31,AF31,)=2,1,0)</f>
        <v>1</v>
      </c>
      <c r="AE31" s="245">
        <f>IF(AND('ф.1.9 Характеристика'!$AD$28&gt;=10,'ф.1.9 Характеристика'!$AD$28&lt;7500),1,0)</f>
        <v>1</v>
      </c>
      <c r="AF31" s="245">
        <f>IF(OR('ф.1.9 Характеристика'!$AD$30&gt;0.3,'ф.1.9 Характеристика'!$AD$30=0.3),1,0)</f>
        <v>1</v>
      </c>
      <c r="AG31" s="244"/>
      <c r="AH31" s="244"/>
      <c r="AI31" s="245">
        <f>IF(SUM(AJ31,AK31,)=2,1,0)</f>
        <v>0</v>
      </c>
      <c r="AJ31" s="245">
        <f>IF(AND('ф.1.9 Характеристика'!$AH$28&gt;=10,'ф.1.9 Характеристика'!$AH$28&lt;7500),1,0)</f>
        <v>0</v>
      </c>
      <c r="AK31" s="245">
        <f>IF(OR('ф.1.9 Характеристика'!$AH$30&gt;0.3,'ф.1.9 Характеристика'!$AH$30=0.3),1,0)</f>
        <v>0</v>
      </c>
      <c r="AL31" s="246" t="s">
        <v>1125</v>
      </c>
      <c r="AM31" s="246" t="s">
        <v>1125</v>
      </c>
      <c r="AN31" s="248">
        <v>2.3309799999999998</v>
      </c>
      <c r="AO31" s="248">
        <v>0.21967999999999999</v>
      </c>
      <c r="AP31" s="248">
        <v>0.3</v>
      </c>
      <c r="AQ31" s="248">
        <v>0.3</v>
      </c>
    </row>
    <row r="32" spans="4:43" s="229" customFormat="1" ht="54.75" customHeight="1" x14ac:dyDescent="0.25">
      <c r="D32" s="239">
        <v>25.5</v>
      </c>
      <c r="AB32" s="243" t="s">
        <v>537</v>
      </c>
      <c r="AC32" s="244" t="s">
        <v>1130</v>
      </c>
      <c r="AD32" s="245">
        <f>IF(SUM(AE32,AF32,AG32,AH32)=4,1,0)</f>
        <v>0</v>
      </c>
      <c r="AE32" s="245">
        <f>IF(AND('ф.1.9 Характеристика'!$AD$28&gt;=10,'ф.1.9 Характеристика'!$AD$28&lt;7500),1,0)</f>
        <v>1</v>
      </c>
      <c r="AF32" s="245">
        <f>IF('ф.1.9 Характеристика'!$AD$30&lt;0.3,1,0)</f>
        <v>0</v>
      </c>
      <c r="AG32" s="245">
        <f>IF('ф.1.9 Характеристика'!$AG$30&lt;20,1,0)</f>
        <v>0</v>
      </c>
      <c r="AH32" s="245">
        <f>IF('ф.1.9 Характеристика'!AD31&lt;10000,1,0)</f>
        <v>0</v>
      </c>
      <c r="AI32" s="245">
        <f>IF(SUM(AJ32,AK32,AL32,AM32)=4,1,0)</f>
        <v>0</v>
      </c>
      <c r="AJ32" s="245">
        <f>IF(AND('ф.1.9 Характеристика'!$AH$28&gt;=10,'ф.1.9 Характеристика'!$AH$28&lt;7500),1,0)</f>
        <v>0</v>
      </c>
      <c r="AK32" s="245">
        <f>IF('ф.1.9 Характеристика'!$AH$30&lt;0.3,1,0)</f>
        <v>1</v>
      </c>
      <c r="AL32" s="245">
        <f>IF('ф.1.9 Характеристика'!$AK$30&lt;20,1,0)</f>
        <v>1</v>
      </c>
      <c r="AM32" s="245">
        <f>IF('ф.1.9 Характеристика'!AH31&lt;10000,1,0)</f>
        <v>0</v>
      </c>
      <c r="AN32" s="248">
        <v>4.5054600000000002</v>
      </c>
      <c r="AO32" s="248">
        <v>0.28361999999999998</v>
      </c>
      <c r="AP32" s="248">
        <v>0.3</v>
      </c>
      <c r="AQ32" s="248">
        <v>0.3</v>
      </c>
    </row>
    <row r="33" spans="4:43" s="229" customFormat="1" ht="54.75" customHeight="1" x14ac:dyDescent="0.25">
      <c r="D33" s="239">
        <v>25.5</v>
      </c>
      <c r="AB33" s="243" t="s">
        <v>543</v>
      </c>
      <c r="AC33" s="244" t="s">
        <v>1131</v>
      </c>
      <c r="AD33" s="245">
        <f>IF(SUM(AE33,AF33,AG33,AH33)=4,1,0)</f>
        <v>0</v>
      </c>
      <c r="AE33" s="245">
        <f>IF(AND('ф.1.9 Характеристика'!$AD$28&gt;=10,'ф.1.9 Характеристика'!$AD$28&lt;7500),1,0)</f>
        <v>1</v>
      </c>
      <c r="AF33" s="245">
        <f>IF('ф.1.9 Характеристика'!$AD$30&lt;0.3,1,0)</f>
        <v>0</v>
      </c>
      <c r="AG33" s="245">
        <f>IF('ф.1.9 Характеристика'!$AG$30&lt;20,1,0)</f>
        <v>0</v>
      </c>
      <c r="AH33" s="245">
        <f>IF('ф.1.9 Характеристика'!AD31&gt;=10000,1,0)</f>
        <v>1</v>
      </c>
      <c r="AI33" s="245">
        <f>IF(SUM(AJ33,AK33,AL33,AM33)=4,1,0)</f>
        <v>0</v>
      </c>
      <c r="AJ33" s="245">
        <f>IF(AND('ф.1.9 Характеристика'!$AH$28&gt;=10,'ф.1.9 Характеристика'!$AH$28&lt;7500),1,0)</f>
        <v>0</v>
      </c>
      <c r="AK33" s="245">
        <f>IF('ф.1.9 Характеристика'!$AH$30&lt;0.3,1,0)</f>
        <v>1</v>
      </c>
      <c r="AL33" s="245">
        <f>IF('ф.1.9 Характеристика'!$AK$30&lt;20,1,0)</f>
        <v>1</v>
      </c>
      <c r="AM33" s="245">
        <f>IF('ф.1.9 Характеристика'!AH31&gt;=10000,1,0)</f>
        <v>1</v>
      </c>
      <c r="AN33" s="248">
        <v>6.1130899999999997</v>
      </c>
      <c r="AO33" s="248">
        <v>0.1817</v>
      </c>
      <c r="AP33" s="248">
        <v>0.3</v>
      </c>
      <c r="AQ33" s="248">
        <v>0.3</v>
      </c>
    </row>
    <row r="34" spans="4:43" s="229" customFormat="1" ht="54.75" customHeight="1" x14ac:dyDescent="0.25">
      <c r="D34" s="239">
        <v>25.5</v>
      </c>
      <c r="AB34" s="243" t="s">
        <v>617</v>
      </c>
      <c r="AC34" s="244" t="s">
        <v>1132</v>
      </c>
      <c r="AD34" s="245">
        <f>IF(SUM(AE34,AF34,AG34)=3,1,0)</f>
        <v>0</v>
      </c>
      <c r="AE34" s="245">
        <f>IF(AND('ф.1.9 Характеристика'!$AD$28&gt;=10,'ф.1.9 Характеристика'!$AD$28&lt;7500),1,0)</f>
        <v>1</v>
      </c>
      <c r="AF34" s="245">
        <f>IF('ф.1.9 Характеристика'!$AD$30&lt;0.3,1,0)</f>
        <v>0</v>
      </c>
      <c r="AG34" s="245">
        <f>IF('ф.1.9 Характеристика'!$AG$30&gt;=20,1,0)</f>
        <v>1</v>
      </c>
      <c r="AH34" s="244"/>
      <c r="AI34" s="245">
        <f>IF(SUM(AJ34,AK34,AL34)=3,1,0)</f>
        <v>0</v>
      </c>
      <c r="AJ34" s="245">
        <f>IF(AND('ф.1.9 Характеристика'!$AH$28&gt;=10,'ф.1.9 Характеристика'!$AH$28&lt;7500),1,0)</f>
        <v>0</v>
      </c>
      <c r="AK34" s="245">
        <f>IF('ф.1.9 Характеристика'!$AH$30&lt;0.3,1,0)</f>
        <v>1</v>
      </c>
      <c r="AL34" s="245">
        <f>IF('ф.1.9 Характеристика'!$AK$30&gt;=20,1,0)</f>
        <v>0</v>
      </c>
      <c r="AM34" s="246" t="s">
        <v>1125</v>
      </c>
      <c r="AN34" s="248">
        <v>5.8507600000000002</v>
      </c>
      <c r="AO34" s="248">
        <v>0.18958</v>
      </c>
      <c r="AP34" s="248">
        <v>0.3</v>
      </c>
      <c r="AQ34" s="248">
        <v>0.3</v>
      </c>
    </row>
    <row r="35" spans="4:43" s="229" customFormat="1" ht="52.5" customHeight="1" x14ac:dyDescent="0.25">
      <c r="D35" s="239">
        <v>15</v>
      </c>
      <c r="AB35" s="243" t="s">
        <v>619</v>
      </c>
      <c r="AC35" s="244" t="s">
        <v>1133</v>
      </c>
      <c r="AD35" s="245">
        <f>AE35</f>
        <v>0</v>
      </c>
      <c r="AE35" s="245">
        <f>IF('ф.1.9 Характеристика'!$AD$28&lt;10,1,0)</f>
        <v>0</v>
      </c>
      <c r="AF35" s="244"/>
      <c r="AG35" s="244"/>
      <c r="AH35" s="244"/>
      <c r="AI35" s="245">
        <f>AJ35</f>
        <v>1</v>
      </c>
      <c r="AJ35" s="245">
        <f>IF('ф.1.9 Характеристика'!$AH$28&lt;10,1,0)</f>
        <v>1</v>
      </c>
      <c r="AK35" s="246" t="s">
        <v>1125</v>
      </c>
      <c r="AL35" s="246" t="s">
        <v>1125</v>
      </c>
      <c r="AM35" s="246" t="s">
        <v>1125</v>
      </c>
      <c r="AN35" s="248">
        <v>1.3036799999999999</v>
      </c>
      <c r="AO35" s="248">
        <v>0.19006999999999999</v>
      </c>
      <c r="AP35" s="248">
        <v>0.3</v>
      </c>
      <c r="AQ35" s="248">
        <v>0.3</v>
      </c>
    </row>
    <row r="36" spans="4:43" s="229" customFormat="1" ht="19.5" customHeight="1" x14ac:dyDescent="0.25">
      <c r="D36" s="239">
        <v>15</v>
      </c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O36" s="250"/>
      <c r="AP36" s="250"/>
      <c r="AQ36" s="250"/>
    </row>
    <row r="37" spans="4:43" s="229" customFormat="1" ht="58.5" customHeight="1" x14ac:dyDescent="0.25">
      <c r="D37" s="239">
        <v>30</v>
      </c>
      <c r="AB37" s="333" t="s">
        <v>1134</v>
      </c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</row>
    <row r="38" spans="4:43" s="229" customFormat="1" ht="24" customHeight="1" x14ac:dyDescent="0.25">
      <c r="D38" s="239">
        <v>5.25</v>
      </c>
    </row>
    <row r="39" spans="4:43" s="229" customFormat="1" ht="95.25" customHeight="1" x14ac:dyDescent="0.25">
      <c r="D39" s="239">
        <v>40.5</v>
      </c>
      <c r="AB39" s="334" t="s">
        <v>487</v>
      </c>
      <c r="AC39" s="335" t="s">
        <v>1114</v>
      </c>
      <c r="AD39" s="334" t="s">
        <v>1115</v>
      </c>
      <c r="AE39" s="334" t="s">
        <v>1116</v>
      </c>
      <c r="AF39" s="334" t="s">
        <v>1117</v>
      </c>
      <c r="AG39" s="340"/>
      <c r="AH39" s="340"/>
      <c r="AI39" s="334" t="s">
        <v>1123</v>
      </c>
      <c r="AJ39" s="334" t="s">
        <v>1116</v>
      </c>
      <c r="AK39" s="334" t="s">
        <v>1117</v>
      </c>
      <c r="AL39" s="340"/>
      <c r="AM39" s="340"/>
      <c r="AN39" s="334" t="s">
        <v>1120</v>
      </c>
      <c r="AO39" s="334" t="s">
        <v>1121</v>
      </c>
      <c r="AP39" s="334" t="s">
        <v>1122</v>
      </c>
      <c r="AQ39" s="334"/>
    </row>
    <row r="40" spans="4:43" s="229" customFormat="1" ht="24" customHeight="1" x14ac:dyDescent="0.25">
      <c r="D40" s="239">
        <v>15</v>
      </c>
      <c r="AB40" s="334"/>
      <c r="AC40" s="335"/>
      <c r="AD40" s="334"/>
      <c r="AE40" s="334"/>
      <c r="AF40" s="334"/>
      <c r="AG40" s="341"/>
      <c r="AH40" s="341"/>
      <c r="AI40" s="334"/>
      <c r="AJ40" s="334"/>
      <c r="AK40" s="334"/>
      <c r="AL40" s="341"/>
      <c r="AM40" s="341"/>
      <c r="AN40" s="334"/>
      <c r="AO40" s="334"/>
      <c r="AP40" s="241" t="str">
        <f>IF(FIRST_PERIOD_IN_LT="","Не определено",FIRST_PERIOD_IN_LT)&amp;" год"</f>
        <v>2020 год</v>
      </c>
      <c r="AQ40" s="241" t="str">
        <f>IF(FIRST_PERIOD_IN_LT="","Не определено",FIRST_PERIOD_IN_LT+1)&amp;" год"</f>
        <v>2021 год</v>
      </c>
    </row>
    <row r="41" spans="4:43" s="229" customFormat="1" ht="21.75" customHeight="1" x14ac:dyDescent="0.25">
      <c r="D41" s="239">
        <v>12</v>
      </c>
      <c r="AB41" s="242">
        <v>1</v>
      </c>
      <c r="AC41" s="242">
        <v>2</v>
      </c>
      <c r="AD41" s="242">
        <v>3</v>
      </c>
      <c r="AE41" s="242">
        <v>4</v>
      </c>
      <c r="AF41" s="242">
        <v>5</v>
      </c>
      <c r="AG41" s="242">
        <v>6</v>
      </c>
      <c r="AH41" s="242">
        <v>7</v>
      </c>
      <c r="AN41" s="242">
        <v>8</v>
      </c>
      <c r="AO41" s="242">
        <v>9</v>
      </c>
      <c r="AP41" s="242">
        <v>10</v>
      </c>
      <c r="AQ41" s="242">
        <v>11</v>
      </c>
    </row>
    <row r="42" spans="4:43" s="229" customFormat="1" ht="33" customHeight="1" x14ac:dyDescent="0.25">
      <c r="D42" s="239">
        <v>15</v>
      </c>
      <c r="AB42" s="243">
        <v>1</v>
      </c>
      <c r="AC42" s="244" t="s">
        <v>1135</v>
      </c>
      <c r="AD42" s="245">
        <f t="shared" ref="AD42:AD47" si="0">IF(SUM(AE42,AF42,)=2,1,0)</f>
        <v>0</v>
      </c>
      <c r="AE42" s="245">
        <f>IF('ф.1.9 Характеристика'!$AD$28&gt;=7500,1,0)</f>
        <v>0</v>
      </c>
      <c r="AF42" s="245">
        <f>IF('ф.1.9 Характеристика'!$AD$30&lt;0.1,1,0)</f>
        <v>0</v>
      </c>
      <c r="AG42" s="244"/>
      <c r="AH42" s="244"/>
      <c r="AI42" s="245">
        <f t="shared" ref="AI42:AI47" si="1">IF(SUM(AJ42,AK42,)=2,1,0)</f>
        <v>0</v>
      </c>
      <c r="AJ42" s="245">
        <f>IF('ф.1.9 Характеристика'!$AH$28&gt;=7500,1,0)</f>
        <v>0</v>
      </c>
      <c r="AK42" s="245">
        <f>IF('ф.1.9 Характеристика'!$AH$30&lt;0.1,1,0)</f>
        <v>1</v>
      </c>
      <c r="AL42" s="244"/>
      <c r="AM42" s="244"/>
      <c r="AN42" s="248">
        <v>1.9674400000000001</v>
      </c>
      <c r="AO42" s="248">
        <v>7.9000000000000001E-2</v>
      </c>
      <c r="AP42" s="248">
        <v>0.3</v>
      </c>
      <c r="AQ42" s="248">
        <v>0.3</v>
      </c>
    </row>
    <row r="43" spans="4:43" s="229" customFormat="1" ht="33" customHeight="1" x14ac:dyDescent="0.25">
      <c r="D43" s="239">
        <v>15</v>
      </c>
      <c r="AB43" s="243">
        <v>2</v>
      </c>
      <c r="AC43" s="244" t="s">
        <v>1128</v>
      </c>
      <c r="AD43" s="245">
        <f t="shared" si="0"/>
        <v>0</v>
      </c>
      <c r="AE43" s="245">
        <f>IF('ф.1.9 Характеристика'!$AD$28&gt;=7500,1,0)</f>
        <v>0</v>
      </c>
      <c r="AF43" s="245">
        <f>IF(OR('ф.1.9 Характеристика'!$AD$30&gt;0.1,'ф.1.9 Характеристика'!$AD$30=0.1),1,0)</f>
        <v>1</v>
      </c>
      <c r="AG43" s="244"/>
      <c r="AH43" s="244"/>
      <c r="AI43" s="245">
        <f t="shared" si="1"/>
        <v>0</v>
      </c>
      <c r="AJ43" s="245">
        <f>IF('ф.1.9 Характеристика'!$AH$28&gt;=7500,1,0)</f>
        <v>0</v>
      </c>
      <c r="AK43" s="245">
        <f>IF(OR('ф.1.9 Характеристика'!$AH$30&gt;0.1,'ф.1.9 Характеристика'!$AH$30=0.1),1,0)</f>
        <v>0</v>
      </c>
      <c r="AL43" s="244"/>
      <c r="AM43" s="244"/>
      <c r="AN43" s="248">
        <v>1.2335499999999999</v>
      </c>
      <c r="AO43" s="248">
        <v>0.13947999999999999</v>
      </c>
      <c r="AP43" s="248">
        <v>0.3</v>
      </c>
      <c r="AQ43" s="248">
        <v>0.3</v>
      </c>
    </row>
    <row r="44" spans="4:43" s="229" customFormat="1" ht="42.75" customHeight="1" x14ac:dyDescent="0.25">
      <c r="D44" s="239">
        <v>15</v>
      </c>
      <c r="AB44" s="243" t="s">
        <v>88</v>
      </c>
      <c r="AC44" s="244" t="s">
        <v>1136</v>
      </c>
      <c r="AD44" s="245">
        <f t="shared" si="0"/>
        <v>0</v>
      </c>
      <c r="AE44" s="245">
        <f>IF(AND('ф.1.9 Характеристика'!$AD$28&gt;=3000,'ф.1.9 Характеристика'!$AD$28&lt;7500),1,0)</f>
        <v>0</v>
      </c>
      <c r="AF44" s="245">
        <f>IF('ф.1.9 Характеристика'!$AD$30&lt;0.15,1,0)</f>
        <v>0</v>
      </c>
      <c r="AG44" s="244"/>
      <c r="AH44" s="244"/>
      <c r="AI44" s="245">
        <f t="shared" si="1"/>
        <v>0</v>
      </c>
      <c r="AJ44" s="245">
        <f>IF(AND('ф.1.9 Характеристика'!$AH$28&gt;=3000,'ф.1.9 Характеристика'!$AH$28&lt;7500),1,0)</f>
        <v>0</v>
      </c>
      <c r="AK44" s="245">
        <f>IF('ф.1.9 Характеристика'!$AH$30&lt;0.15,1,0)</f>
        <v>1</v>
      </c>
      <c r="AL44" s="244"/>
      <c r="AM44" s="244"/>
      <c r="AN44" s="248">
        <v>1.78816</v>
      </c>
      <c r="AO44" s="248">
        <v>0.14552999999999999</v>
      </c>
      <c r="AP44" s="248">
        <v>0.3</v>
      </c>
      <c r="AQ44" s="248">
        <v>0.3</v>
      </c>
    </row>
    <row r="45" spans="4:43" s="229" customFormat="1" ht="38.25" customHeight="1" x14ac:dyDescent="0.25">
      <c r="D45" s="239">
        <v>15</v>
      </c>
      <c r="AB45" s="243" t="s">
        <v>95</v>
      </c>
      <c r="AC45" s="244" t="s">
        <v>1137</v>
      </c>
      <c r="AD45" s="245">
        <f t="shared" si="0"/>
        <v>0</v>
      </c>
      <c r="AE45" s="245">
        <f>IF(AND('ф.1.9 Характеристика'!$AD$28&gt;=3000,'ф.1.9 Характеристика'!$AD$28&lt;7500),1,0)</f>
        <v>0</v>
      </c>
      <c r="AF45" s="245">
        <f>IF(OR('ф.1.9 Характеристика'!$AD$30&gt;0.15,'ф.1.9 Характеристика'!$AD$30=0.15),1,0)</f>
        <v>1</v>
      </c>
      <c r="AG45" s="244"/>
      <c r="AH45" s="244"/>
      <c r="AI45" s="245">
        <f t="shared" si="1"/>
        <v>0</v>
      </c>
      <c r="AJ45" s="245">
        <f>IF(AND('ф.1.9 Характеристика'!$AH$28&gt;=3000,'ф.1.9 Характеристика'!$AH$28&lt;7500),1,0)</f>
        <v>0</v>
      </c>
      <c r="AK45" s="245">
        <f>IF(OR('ф.1.9 Характеристика'!$AH$30&gt;0.15,'ф.1.9 Характеристика'!$AH$30=0.15),1,0)</f>
        <v>0</v>
      </c>
      <c r="AL45" s="244"/>
      <c r="AM45" s="244"/>
      <c r="AN45" s="248">
        <v>0.75107999999999997</v>
      </c>
      <c r="AO45" s="248">
        <v>0.17702000000000001</v>
      </c>
      <c r="AP45" s="248">
        <v>0.3</v>
      </c>
      <c r="AQ45" s="248">
        <v>0.3</v>
      </c>
    </row>
    <row r="46" spans="4:43" s="229" customFormat="1" ht="33" customHeight="1" x14ac:dyDescent="0.25">
      <c r="D46" s="239">
        <v>15</v>
      </c>
      <c r="AB46" s="243" t="s">
        <v>103</v>
      </c>
      <c r="AC46" s="244" t="s">
        <v>1138</v>
      </c>
      <c r="AD46" s="245">
        <f t="shared" si="0"/>
        <v>1</v>
      </c>
      <c r="AE46" s="245">
        <f>IF(AND('ф.1.9 Характеристика'!$AD$28&gt;=100,'ф.1.9 Характеристика'!$AD$28&lt;3000),1,0)</f>
        <v>1</v>
      </c>
      <c r="AF46" s="245">
        <f>IF(OR('ф.1.9 Характеристика'!$AD$30&gt;0.35,'ф.1.9 Характеристика'!$AD$30=0.35),1,0)</f>
        <v>1</v>
      </c>
      <c r="AG46" s="244"/>
      <c r="AH46" s="244"/>
      <c r="AI46" s="245">
        <f t="shared" si="1"/>
        <v>0</v>
      </c>
      <c r="AJ46" s="245">
        <f>IF(AND('ф.1.9 Характеристика'!$AH$28&gt;=100,'ф.1.9 Характеристика'!$AH$28&lt;3000),1,0)</f>
        <v>0</v>
      </c>
      <c r="AK46" s="245">
        <f>IF(OR('ф.1.9 Характеристика'!$AH$30&gt;0.35,'ф.1.9 Характеристика'!$AH$30=0.35),1,0)</f>
        <v>0</v>
      </c>
      <c r="AL46" s="244"/>
      <c r="AM46" s="244"/>
      <c r="AN46" s="248">
        <v>0.56438999999999995</v>
      </c>
      <c r="AO46" s="248">
        <v>0.17379</v>
      </c>
      <c r="AP46" s="248">
        <v>0.3</v>
      </c>
      <c r="AQ46" s="248">
        <v>0.3</v>
      </c>
    </row>
    <row r="47" spans="4:43" s="229" customFormat="1" ht="33" customHeight="1" x14ac:dyDescent="0.25">
      <c r="D47" s="239">
        <v>15</v>
      </c>
      <c r="AB47" s="243" t="s">
        <v>537</v>
      </c>
      <c r="AC47" s="244" t="s">
        <v>1139</v>
      </c>
      <c r="AD47" s="245">
        <f t="shared" si="0"/>
        <v>0</v>
      </c>
      <c r="AE47" s="245">
        <f>IF(AND('ф.1.9 Характеристика'!$AD$28&gt;=100,'ф.1.9 Характеристика'!$AD$28&lt;3000),1,0)</f>
        <v>1</v>
      </c>
      <c r="AF47" s="245">
        <f>IF('ф.1.9 Характеристика'!$AD$30&lt;0.35,1,0)</f>
        <v>0</v>
      </c>
      <c r="AG47" s="244"/>
      <c r="AH47" s="244"/>
      <c r="AI47" s="245">
        <f t="shared" si="1"/>
        <v>0</v>
      </c>
      <c r="AJ47" s="245">
        <f>IF(AND('ф.1.9 Характеристика'!$AH$28&gt;=100,'ф.1.9 Характеристика'!$AH$28&lt;3000),1,0)</f>
        <v>0</v>
      </c>
      <c r="AK47" s="245">
        <f>IF('ф.1.9 Характеристика'!$AH$30&lt;0.35,1,0)</f>
        <v>1</v>
      </c>
      <c r="AL47" s="244"/>
      <c r="AM47" s="244"/>
      <c r="AN47" s="248">
        <v>1.0079499999999999</v>
      </c>
      <c r="AO47" s="248">
        <v>0.16106999999999999</v>
      </c>
      <c r="AP47" s="248">
        <v>0.3</v>
      </c>
      <c r="AQ47" s="248">
        <v>0.3</v>
      </c>
    </row>
    <row r="48" spans="4:43" s="229" customFormat="1" ht="33" customHeight="1" x14ac:dyDescent="0.25">
      <c r="D48" s="239">
        <v>15</v>
      </c>
      <c r="AB48" s="243" t="s">
        <v>543</v>
      </c>
      <c r="AC48" s="244" t="s">
        <v>1140</v>
      </c>
      <c r="AD48" s="245">
        <f>AE48</f>
        <v>0</v>
      </c>
      <c r="AE48" s="245">
        <f>IF(AND('ф.1.9 Характеристика'!$AD$28&gt;=10,'ф.1.9 Характеристика'!$AD$28&lt;100),1,0)</f>
        <v>0</v>
      </c>
      <c r="AF48" s="244"/>
      <c r="AG48" s="244"/>
      <c r="AH48" s="244"/>
      <c r="AI48" s="245">
        <f>AJ48</f>
        <v>0</v>
      </c>
      <c r="AJ48" s="245">
        <f>IF(AND('ф.1.9 Характеристика'!$AH$28&gt;=10,'ф.1.9 Характеристика'!$AH$28&lt;100),1,0)</f>
        <v>0</v>
      </c>
      <c r="AK48" s="246" t="s">
        <v>1125</v>
      </c>
      <c r="AL48" s="244"/>
      <c r="AM48" s="244"/>
      <c r="AN48" s="248">
        <v>0.78503000000000001</v>
      </c>
      <c r="AO48" s="248">
        <v>0.24091000000000001</v>
      </c>
      <c r="AP48" s="248">
        <v>0.3</v>
      </c>
      <c r="AQ48" s="248">
        <v>0.3</v>
      </c>
    </row>
    <row r="49" spans="4:44" s="229" customFormat="1" ht="33" customHeight="1" x14ac:dyDescent="0.25">
      <c r="D49" s="239">
        <v>15</v>
      </c>
      <c r="AB49" s="243" t="s">
        <v>617</v>
      </c>
      <c r="AC49" s="244" t="s">
        <v>1133</v>
      </c>
      <c r="AD49" s="245">
        <f>AE49</f>
        <v>0</v>
      </c>
      <c r="AE49" s="245">
        <f>IF('ф.1.9 Характеристика'!$AD$28&lt;10,1,0)</f>
        <v>0</v>
      </c>
      <c r="AF49" s="244"/>
      <c r="AG49" s="244"/>
      <c r="AH49" s="244"/>
      <c r="AI49" s="245">
        <f>AJ49</f>
        <v>1</v>
      </c>
      <c r="AJ49" s="245">
        <f>IF('ф.1.9 Характеристика'!$AH$28&lt;10,1,0)</f>
        <v>1</v>
      </c>
      <c r="AK49" s="246" t="s">
        <v>1125</v>
      </c>
      <c r="AL49" s="244"/>
      <c r="AM49" s="244"/>
      <c r="AN49" s="248">
        <v>0.92642000000000002</v>
      </c>
      <c r="AO49" s="248">
        <v>0.12407</v>
      </c>
      <c r="AP49" s="248">
        <v>0.3</v>
      </c>
      <c r="AQ49" s="248">
        <v>0.3</v>
      </c>
    </row>
    <row r="50" spans="4:44" ht="11.25" hidden="1" customHeight="1" x14ac:dyDescent="0.25">
      <c r="D50" s="19">
        <v>0</v>
      </c>
      <c r="AR50" t="s">
        <v>457</v>
      </c>
    </row>
  </sheetData>
  <sheetProtection formatColumns="0" formatRows="0" insertRows="0" deleteColumns="0" deleteRows="0" sort="0" autoFilter="0"/>
  <mergeCells count="29">
    <mergeCell ref="AB37:AQ37"/>
    <mergeCell ref="AB39:AB40"/>
    <mergeCell ref="AC39:AC40"/>
    <mergeCell ref="AD39:AD40"/>
    <mergeCell ref="AE39:AE40"/>
    <mergeCell ref="AF39:AF40"/>
    <mergeCell ref="AG39:AG40"/>
    <mergeCell ref="AH39:AH40"/>
    <mergeCell ref="AN39:AN40"/>
    <mergeCell ref="AI39:AI40"/>
    <mergeCell ref="AJ39:AJ40"/>
    <mergeCell ref="AK39:AK40"/>
    <mergeCell ref="AL39:AL40"/>
    <mergeCell ref="AM39:AM40"/>
    <mergeCell ref="AO39:AO40"/>
    <mergeCell ref="AP39:AQ39"/>
    <mergeCell ref="AB21:AD21"/>
    <mergeCell ref="AB22:AQ22"/>
    <mergeCell ref="AB24:AB25"/>
    <mergeCell ref="AC24:AC25"/>
    <mergeCell ref="AD24:AD25"/>
    <mergeCell ref="AE24:AE25"/>
    <mergeCell ref="AF24:AF25"/>
    <mergeCell ref="AG24:AG25"/>
    <mergeCell ref="AH24:AH25"/>
    <mergeCell ref="AN24:AN25"/>
    <mergeCell ref="AO24:AO25"/>
    <mergeCell ref="AI24:AM24"/>
    <mergeCell ref="AP24:AQ24"/>
  </mergeCells>
  <pageMargins left="0.7" right="0.7" top="0.75" bottom="0.75" header="0.3" footer="0.3"/>
  <pageSetup scale="4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76" baseType="lpstr">
      <vt:lpstr>Инструкция</vt:lpstr>
      <vt:lpstr>TEHSHEET</vt:lpstr>
      <vt:lpstr>et_union</vt:lpstr>
      <vt:lpstr>REESTR_MO</vt:lpstr>
      <vt:lpstr>REESTR_ORG</vt:lpstr>
      <vt:lpstr>Информация</vt:lpstr>
      <vt:lpstr>Титульный</vt:lpstr>
      <vt:lpstr>Список листов</vt:lpstr>
      <vt:lpstr>Сопроводительные материалы</vt:lpstr>
      <vt:lpstr>ф.2.1 ИндИнф (Ин)</vt:lpstr>
      <vt:lpstr>ф.2.2 ИндИспол (Ис)</vt:lpstr>
      <vt:lpstr>ф.2.3 ИндРезульт (Рс)</vt:lpstr>
      <vt:lpstr>ф.1.3 Ср.продолж.</vt:lpstr>
      <vt:lpstr>ф.1.3.1 Ср.продолж.</vt:lpstr>
      <vt:lpstr>ф.8.1 Журнал учета</vt:lpstr>
      <vt:lpstr>ф.8.1.1 Ведомость_свод</vt:lpstr>
      <vt:lpstr>ф.8.3 Индикатив</vt:lpstr>
      <vt:lpstr>ф.8.3.1 Индикатив</vt:lpstr>
      <vt:lpstr>Ф.3.1Ф3.2 ПоказТехприс (Птпр)</vt:lpstr>
      <vt:lpstr>Форма 4.1 расч.</vt:lpstr>
      <vt:lpstr>Форма 4.1 расч. с 2024 г</vt:lpstr>
      <vt:lpstr>Форма 4.2 расч.</vt:lpstr>
      <vt:lpstr>Форма 4.2 расч. с 2024 г</vt:lpstr>
      <vt:lpstr>ф.1.9 Характеристика</vt:lpstr>
      <vt:lpstr>Ф9.1Ф9.2</vt:lpstr>
      <vt:lpstr>'ф.8.1 Журнал учета'!_ФильтрБазыДанных</vt:lpstr>
      <vt:lpstr>activity</vt:lpstr>
      <vt:lpstr>ADD_1_wsDocs</vt:lpstr>
      <vt:lpstr>ADD_1_wsF81</vt:lpstr>
      <vt:lpstr>bln_binary</vt:lpstr>
      <vt:lpstr>buh_FIO</vt:lpstr>
      <vt:lpstr>buh_tel</vt:lpstr>
      <vt:lpstr>CODE</vt:lpstr>
      <vt:lpstr>DAY</vt:lpstr>
      <vt:lpstr>doc_list</vt:lpstr>
      <vt:lpstr>END_LICENSE</vt:lpstr>
      <vt:lpstr>f_8_1_1_dnld_clck</vt:lpstr>
      <vt:lpstr>f_8_1_ae</vt:lpstr>
      <vt:lpstr>f_8_1_date1</vt:lpstr>
      <vt:lpstr>f_8_1_date2</vt:lpstr>
      <vt:lpstr>f_8_1_timeOFF</vt:lpstr>
      <vt:lpstr>FACT_YEAR</vt:lpstr>
      <vt:lpstr>FIL</vt:lpstr>
      <vt:lpstr>FIL_FLAG</vt:lpstr>
      <vt:lpstr>FIRST_PERIOD_IN_LT</vt:lpstr>
      <vt:lpstr>FIRST_PERIOD_INDEX</vt:lpstr>
      <vt:lpstr>flag_end_wsDocs</vt:lpstr>
      <vt:lpstr>flag_end_wsF13_AvgDuration</vt:lpstr>
      <vt:lpstr>flag_end_wsF131_AvgDuration</vt:lpstr>
      <vt:lpstr>flag_end_wsF19_Char</vt:lpstr>
      <vt:lpstr>flag_end_wsF21_IndInf</vt:lpstr>
      <vt:lpstr>flag_end_wsF22_IndExec</vt:lpstr>
      <vt:lpstr>flag_end_wsF23_IndRes</vt:lpstr>
      <vt:lpstr>flag_end_wsF312_TechCon</vt:lpstr>
      <vt:lpstr>flag_end_wsF41_Calc</vt:lpstr>
      <vt:lpstr>flag_end_wsF41_Calc2024</vt:lpstr>
      <vt:lpstr>flag_end_wsF42_Calc</vt:lpstr>
      <vt:lpstr>flag_end_wsF42_Calc2024</vt:lpstr>
      <vt:lpstr>flag_end_wsF81</vt:lpstr>
      <vt:lpstr>flag_end_wsF811_Report</vt:lpstr>
      <vt:lpstr>flag_end_wsF83_Indicat</vt:lpstr>
      <vt:lpstr>flag_end_wsF831_Indicat</vt:lpstr>
      <vt:lpstr>flag_end_wsF912</vt:lpstr>
      <vt:lpstr>flag_end_wsList</vt:lpstr>
      <vt:lpstr>flag_end_wsTitle</vt:lpstr>
      <vt:lpstr>flag_start_wsDocs</vt:lpstr>
      <vt:lpstr>flag_start_wsF13_AvgDuration</vt:lpstr>
      <vt:lpstr>flag_start_wsF131_AvgDuration</vt:lpstr>
      <vt:lpstr>flag_start_wsF19_Char</vt:lpstr>
      <vt:lpstr>flag_start_wsF21_IndInf</vt:lpstr>
      <vt:lpstr>flag_start_wsF22_IndExec</vt:lpstr>
      <vt:lpstr>flag_start_wsF23_IndRes</vt:lpstr>
      <vt:lpstr>flag_start_wsF312_TechCon</vt:lpstr>
      <vt:lpstr>flag_start_wsF41_Calc</vt:lpstr>
      <vt:lpstr>flag_start_wsF41_Calc2024</vt:lpstr>
      <vt:lpstr>flag_start_wsF42_Calc</vt:lpstr>
      <vt:lpstr>flag_start_wsF42_Calc2024</vt:lpstr>
      <vt:lpstr>flag_start_wsF81</vt:lpstr>
      <vt:lpstr>flag_start_wsF811_Report</vt:lpstr>
      <vt:lpstr>flag_start_wsF83_Indicat</vt:lpstr>
      <vt:lpstr>flag_start_wsF831_Indicat</vt:lpstr>
      <vt:lpstr>flag_start_wsF912</vt:lpstr>
      <vt:lpstr>flag_start_wsList</vt:lpstr>
      <vt:lpstr>flag_start_wsTitle</vt:lpstr>
      <vt:lpstr>INN</vt:lpstr>
      <vt:lpstr>isp_dol</vt:lpstr>
      <vt:lpstr>isp_FIO</vt:lpstr>
      <vt:lpstr>isp_mail</vt:lpstr>
      <vt:lpstr>isp_tel</vt:lpstr>
      <vt:lpstr>KPP</vt:lpstr>
      <vt:lpstr>kvartal</vt:lpstr>
      <vt:lpstr>LINK_DOC_MASK</vt:lpstr>
      <vt:lpstr>logic</vt:lpstr>
      <vt:lpstr>MONTH</vt:lpstr>
      <vt:lpstr>MONTH_CH</vt:lpstr>
      <vt:lpstr>ORG</vt:lpstr>
      <vt:lpstr>org_f_address</vt:lpstr>
      <vt:lpstr>ORG_ID</vt:lpstr>
      <vt:lpstr>org_u_address</vt:lpstr>
      <vt:lpstr>OVER_PERIOD_3</vt:lpstr>
      <vt:lpstr>OVER_PERIOD_4</vt:lpstr>
      <vt:lpstr>OVER_PERIOD_5</vt:lpstr>
      <vt:lpstr>Period</vt:lpstr>
      <vt:lpstr>PERIOD_LENGTH</vt:lpstr>
      <vt:lpstr>PERIOD_LIST</vt:lpstr>
      <vt:lpstr>PLAN_YEAR</vt:lpstr>
      <vt:lpstr>POSSIBLE_PERIOD_LENGTH</vt:lpstr>
      <vt:lpstr>PRD</vt:lpstr>
      <vt:lpstr>PRELOAD_F41_Calc_CHECK</vt:lpstr>
      <vt:lpstr>PRELOAD_F41_Calc_ORG_ID</vt:lpstr>
      <vt:lpstr>REGION_NAME</vt:lpstr>
      <vt:lpstr>REGIONS</vt:lpstr>
      <vt:lpstr>REPORT_OWNER</vt:lpstr>
      <vt:lpstr>rngCopy</vt:lpstr>
      <vt:lpstr>ruk_dol</vt:lpstr>
      <vt:lpstr>ruk_FIO</vt:lpstr>
      <vt:lpstr>ruk_tel</vt:lpstr>
      <vt:lpstr>selected_region</vt:lpstr>
      <vt:lpstr>SphereList</vt:lpstr>
      <vt:lpstr>SphereList_ru</vt:lpstr>
      <vt:lpstr>tariff_num</vt:lpstr>
      <vt:lpstr>tblEnd_1_wsDocs</vt:lpstr>
      <vt:lpstr>tblEnd_1_wsF13_AvgDuration</vt:lpstr>
      <vt:lpstr>tblEnd_1_wsF131_AvgDuration</vt:lpstr>
      <vt:lpstr>tblEnd_1_wsF19_Char</vt:lpstr>
      <vt:lpstr>tblEnd_1_wsF21_IndInf</vt:lpstr>
      <vt:lpstr>tblEnd_1_wsF22_IndExec</vt:lpstr>
      <vt:lpstr>tblEnd_1_wsF23_IndRes</vt:lpstr>
      <vt:lpstr>tblEnd_1_wsF312_TechCon</vt:lpstr>
      <vt:lpstr>tblEnd_1_wsF41_Calc</vt:lpstr>
      <vt:lpstr>tblEnd_1_wsF41_Calc2024</vt:lpstr>
      <vt:lpstr>tblEnd_1_wsF42_Calc</vt:lpstr>
      <vt:lpstr>tblEnd_1_wsF42_Calc2024</vt:lpstr>
      <vt:lpstr>tblEnd_1_wsF81</vt:lpstr>
      <vt:lpstr>tblEnd_1_wsF811_Report</vt:lpstr>
      <vt:lpstr>tblEnd_1_wsF83_Indicat</vt:lpstr>
      <vt:lpstr>tblEnd_1_wsF831_Indicat</vt:lpstr>
      <vt:lpstr>tblEnd_1_wsF912</vt:lpstr>
      <vt:lpstr>tblEnd_1_wsTitle</vt:lpstr>
      <vt:lpstr>tblEnd_2_wsF312_TechCon</vt:lpstr>
      <vt:lpstr>tblEnd_2_wsF41_Calc</vt:lpstr>
      <vt:lpstr>tblEnd_2_wsF912</vt:lpstr>
      <vt:lpstr>tblEnd_3_wsF312_TechCon</vt:lpstr>
      <vt:lpstr>tblStart_1_wsDocs</vt:lpstr>
      <vt:lpstr>tblStart_1_wsF13_AvgDuration</vt:lpstr>
      <vt:lpstr>tblStart_1_wsF131_AvgDuration</vt:lpstr>
      <vt:lpstr>tblStart_1_wsF19_Char</vt:lpstr>
      <vt:lpstr>tblStart_1_wsF21_IndInf</vt:lpstr>
      <vt:lpstr>tblStart_1_wsF22_IndExec</vt:lpstr>
      <vt:lpstr>tblStart_1_wsF23_IndRes</vt:lpstr>
      <vt:lpstr>tblStart_1_wsF312_TechCon</vt:lpstr>
      <vt:lpstr>tblStart_1_wsF41_Calc</vt:lpstr>
      <vt:lpstr>tblStart_1_wsF41_Calc2024</vt:lpstr>
      <vt:lpstr>tblStart_1_wsF42_Calc</vt:lpstr>
      <vt:lpstr>tblStart_1_wsF42_Calc2024</vt:lpstr>
      <vt:lpstr>tblStart_1_wsF81</vt:lpstr>
      <vt:lpstr>tblStart_1_wsF811_Report</vt:lpstr>
      <vt:lpstr>tblStart_1_wsF83_Indicat</vt:lpstr>
      <vt:lpstr>tblStart_1_wsF831_Indicat</vt:lpstr>
      <vt:lpstr>tblStart_1_wsF912</vt:lpstr>
      <vt:lpstr>tblStart_1_wsTitle</vt:lpstr>
      <vt:lpstr>tblStart_2_wsF312_TechCon</vt:lpstr>
      <vt:lpstr>tblStart_2_wsF41_Calc</vt:lpstr>
      <vt:lpstr>tblStart_2_wsF912</vt:lpstr>
      <vt:lpstr>tblStart_3_wsF312_TechCon</vt:lpstr>
      <vt:lpstr>TemplateState</vt:lpstr>
      <vt:lpstr>TestMode</vt:lpstr>
      <vt:lpstr>TIT_CONTACT</vt:lpstr>
      <vt:lpstr>TitHeader</vt:lpstr>
      <vt:lpstr>TYPE_OBGECT</vt:lpstr>
      <vt:lpstr>TYPE_TERMINATION</vt:lpstr>
      <vt:lpstr>VERSION</vt:lpstr>
      <vt:lpstr>VID_END_EE</vt:lpstr>
      <vt:lpstr>VID_OBJECT</vt:lpstr>
      <vt:lpstr>'ф.1.3 Ср.продолж.'!Область_печати</vt:lpstr>
      <vt:lpstr>'ф.8.1 Журнал учета'!Область_печати</vt:lpstr>
    </vt:vector>
  </TitlesOfParts>
  <Company>РОИВ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уровня надежности и качества поставляемых товаров и услуг</dc:title>
  <dc:subject>Расчет уровня надежности и качества поставляемых товаров и услуг</dc:subject>
  <dc:creator>admin</dc:creator>
  <cp:lastModifiedBy>Нач.  ПЭО</cp:lastModifiedBy>
  <cp:lastPrinted>2024-05-23T07:29:59Z</cp:lastPrinted>
  <dcterms:created xsi:type="dcterms:W3CDTF">2004-05-21T07:18:45Z</dcterms:created>
  <dcterms:modified xsi:type="dcterms:W3CDTF">2024-07-12T13:35:01Z</dcterms:modified>
</cp:coreProperties>
</file>